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0" windowWidth="17295" windowHeight="3765" tabRatio="713"/>
  </bookViews>
  <sheets>
    <sheet name="Данные по УК" sheetId="7" r:id="rId1"/>
    <sheet name="Данные по МКД-4" sheetId="4" r:id="rId2"/>
    <sheet name="Данные по МКД-6" sheetId="6" r:id="rId3"/>
    <sheet name="Данные по МКД-2" sheetId="2" r:id="rId4"/>
    <sheet name="Данные по МКД-1" sheetId="1" r:id="rId5"/>
    <sheet name="Данные по МКД-3" sheetId="3" r:id="rId6"/>
    <sheet name="Данные по МКД-5" sheetId="5" r:id="rId7"/>
  </sheets>
  <externalReferences>
    <externalReference r:id="rId8"/>
  </externalReferences>
  <definedNames>
    <definedName name="_xlnm.Print_Area" localSheetId="4">'Данные по МКД-1'!$A$1:$N$36</definedName>
  </definedNames>
  <calcPr calcId="145621"/>
</workbook>
</file>

<file path=xl/calcChain.xml><?xml version="1.0" encoding="utf-8"?>
<calcChain xmlns="http://schemas.openxmlformats.org/spreadsheetml/2006/main">
  <c r="I19" i="6" l="1"/>
  <c r="I13" i="6"/>
  <c r="I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H21" i="6"/>
  <c r="H19" i="6"/>
  <c r="H17" i="6"/>
  <c r="H13" i="6"/>
  <c r="H19" i="1" l="1"/>
  <c r="H20" i="1"/>
  <c r="H21" i="1"/>
  <c r="H22" i="1"/>
  <c r="H23" i="1"/>
  <c r="H24" i="1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I15" i="2"/>
  <c r="I16" i="2"/>
  <c r="I17" i="2"/>
  <c r="I18" i="2"/>
  <c r="I19" i="2"/>
  <c r="I20" i="2"/>
  <c r="I21" i="2"/>
  <c r="H16" i="2"/>
  <c r="H17" i="2"/>
  <c r="H18" i="2"/>
  <c r="H19" i="2"/>
  <c r="H20" i="2"/>
  <c r="H21" i="2"/>
  <c r="G19" i="6"/>
  <c r="G17" i="6"/>
  <c r="G13" i="6"/>
  <c r="G19" i="1"/>
  <c r="G20" i="1"/>
  <c r="G21" i="1"/>
  <c r="G22" i="1"/>
  <c r="G23" i="1"/>
  <c r="G24" i="1"/>
  <c r="G17" i="2"/>
  <c r="G18" i="2"/>
  <c r="G19" i="2"/>
  <c r="G20" i="2"/>
  <c r="G21" i="2"/>
  <c r="F19" i="6"/>
  <c r="F17" i="6"/>
  <c r="F13" i="6"/>
  <c r="E22" i="6" l="1"/>
  <c r="F22" i="6"/>
  <c r="F38" i="1"/>
  <c r="F19" i="1"/>
  <c r="F20" i="1"/>
  <c r="F21" i="1"/>
  <c r="F22" i="1"/>
  <c r="F23" i="1"/>
  <c r="F24" i="1"/>
  <c r="D22" i="2"/>
  <c r="E22" i="2"/>
  <c r="E23" i="2" s="1"/>
  <c r="F22" i="2"/>
  <c r="K22" i="2"/>
  <c r="K23" i="2" s="1"/>
  <c r="L22" i="2"/>
  <c r="M22" i="2"/>
  <c r="M23" i="2" s="1"/>
  <c r="D23" i="2"/>
  <c r="F23" i="2"/>
  <c r="L23" i="2"/>
  <c r="C23" i="2"/>
  <c r="C22" i="2"/>
  <c r="F17" i="2"/>
  <c r="F18" i="2"/>
  <c r="F19" i="2"/>
  <c r="F20" i="2"/>
  <c r="F21" i="2"/>
  <c r="E17" i="2"/>
  <c r="E18" i="2"/>
  <c r="E19" i="2"/>
  <c r="E20" i="2"/>
  <c r="E21" i="2"/>
  <c r="D17" i="2"/>
  <c r="D18" i="2"/>
  <c r="D19" i="2"/>
  <c r="D20" i="2"/>
  <c r="D21" i="2"/>
  <c r="C17" i="2"/>
  <c r="C18" i="2"/>
  <c r="C19" i="2"/>
  <c r="C20" i="2"/>
  <c r="C21" i="2"/>
  <c r="E17" i="6"/>
  <c r="E13" i="6"/>
  <c r="E20" i="1"/>
  <c r="E21" i="1"/>
  <c r="E22" i="1"/>
  <c r="E23" i="1"/>
  <c r="E24" i="1"/>
  <c r="D21" i="6"/>
  <c r="D17" i="6"/>
  <c r="D13" i="6"/>
  <c r="D6" i="6"/>
  <c r="D4" i="6"/>
  <c r="D20" i="1" l="1"/>
  <c r="D21" i="1"/>
  <c r="D22" i="1"/>
  <c r="D23" i="1"/>
  <c r="D24" i="1"/>
  <c r="C18" i="6"/>
  <c r="C17" i="6"/>
  <c r="C19" i="6"/>
  <c r="C22" i="6"/>
  <c r="D38" i="1" s="1"/>
  <c r="C16" i="6"/>
  <c r="C13" i="6"/>
  <c r="C12" i="6"/>
  <c r="C8" i="6"/>
  <c r="C5" i="6"/>
  <c r="C4" i="6"/>
  <c r="D7" i="1" s="1"/>
  <c r="K8" i="2"/>
  <c r="K9" i="2"/>
  <c r="K10" i="2"/>
  <c r="K11" i="2"/>
  <c r="K12" i="2"/>
  <c r="K13" i="2"/>
  <c r="M10" i="2"/>
  <c r="M11" i="2"/>
  <c r="M12" i="2"/>
  <c r="M13" i="2"/>
  <c r="L10" i="2"/>
  <c r="L11" i="2"/>
  <c r="L12" i="2"/>
  <c r="L13" i="2"/>
  <c r="E4" i="2"/>
  <c r="F4" i="2"/>
  <c r="G4" i="2"/>
  <c r="H4" i="2"/>
  <c r="I4" i="2"/>
  <c r="J4" i="2"/>
  <c r="K4" i="2"/>
  <c r="L4" i="2"/>
  <c r="M4" i="2"/>
  <c r="E5" i="2"/>
  <c r="F5" i="2"/>
  <c r="G5" i="2"/>
  <c r="H5" i="2"/>
  <c r="I5" i="2"/>
  <c r="J5" i="2"/>
  <c r="K5" i="2"/>
  <c r="L5" i="2"/>
  <c r="M5" i="2"/>
  <c r="E6" i="2"/>
  <c r="F6" i="2"/>
  <c r="G6" i="2"/>
  <c r="H6" i="2"/>
  <c r="I6" i="2"/>
  <c r="J6" i="2"/>
  <c r="K6" i="2"/>
  <c r="L6" i="2"/>
  <c r="M6" i="2"/>
  <c r="E7" i="2"/>
  <c r="F7" i="2"/>
  <c r="G7" i="2"/>
  <c r="H7" i="2"/>
  <c r="I7" i="2"/>
  <c r="J7" i="2"/>
  <c r="K7" i="2"/>
  <c r="L7" i="2"/>
  <c r="M7" i="2"/>
  <c r="E8" i="2"/>
  <c r="F8" i="2"/>
  <c r="G8" i="2"/>
  <c r="H8" i="2"/>
  <c r="I8" i="2"/>
  <c r="J8" i="2"/>
  <c r="L8" i="2"/>
  <c r="M8" i="2"/>
  <c r="E9" i="2"/>
  <c r="F9" i="2"/>
  <c r="G9" i="2"/>
  <c r="H9" i="2"/>
  <c r="I9" i="2"/>
  <c r="J9" i="2"/>
  <c r="L9" i="2"/>
  <c r="M9" i="2"/>
  <c r="E10" i="2"/>
  <c r="F10" i="2"/>
  <c r="G10" i="2"/>
  <c r="H10" i="2"/>
  <c r="I10" i="2"/>
  <c r="J10" i="2"/>
  <c r="E11" i="2"/>
  <c r="F11" i="2"/>
  <c r="G11" i="2"/>
  <c r="H11" i="2"/>
  <c r="I11" i="2"/>
  <c r="J11" i="2"/>
  <c r="E12" i="2"/>
  <c r="F12" i="2"/>
  <c r="G12" i="2"/>
  <c r="H12" i="2"/>
  <c r="I12" i="2"/>
  <c r="J12" i="2"/>
  <c r="E13" i="2"/>
  <c r="F13" i="2"/>
  <c r="G13" i="2"/>
  <c r="H13" i="2"/>
  <c r="I13" i="2"/>
  <c r="J13" i="2"/>
  <c r="E14" i="2"/>
  <c r="F14" i="2"/>
  <c r="G14" i="2"/>
  <c r="H14" i="2"/>
  <c r="I14" i="2"/>
  <c r="E15" i="2"/>
  <c r="F15" i="2"/>
  <c r="G15" i="2"/>
  <c r="H15" i="2"/>
  <c r="E16" i="2"/>
  <c r="F16" i="2"/>
  <c r="G16" i="2"/>
  <c r="G38" i="1"/>
  <c r="K38" i="1"/>
  <c r="L38" i="1"/>
  <c r="M38" i="1"/>
  <c r="C38" i="1"/>
  <c r="C32" i="1"/>
  <c r="D32" i="1"/>
  <c r="E32" i="1"/>
  <c r="F32" i="1"/>
  <c r="G32" i="1"/>
  <c r="H32" i="1"/>
  <c r="I32" i="1"/>
  <c r="J32" i="1"/>
  <c r="K32" i="1"/>
  <c r="C24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0" i="1"/>
  <c r="E10" i="1"/>
  <c r="F10" i="1"/>
  <c r="G10" i="1"/>
  <c r="H10" i="1"/>
  <c r="I10" i="1"/>
  <c r="J10" i="1"/>
  <c r="K10" i="1"/>
  <c r="D11" i="1"/>
  <c r="E11" i="1"/>
  <c r="F11" i="1"/>
  <c r="G11" i="1"/>
  <c r="H11" i="1"/>
  <c r="I11" i="1"/>
  <c r="J11" i="1"/>
  <c r="K11" i="1"/>
  <c r="D12" i="1"/>
  <c r="E12" i="1"/>
  <c r="F12" i="1"/>
  <c r="G12" i="1"/>
  <c r="H12" i="1"/>
  <c r="I12" i="1"/>
  <c r="J12" i="1"/>
  <c r="K12" i="1"/>
  <c r="D13" i="1"/>
  <c r="E13" i="1"/>
  <c r="F13" i="1"/>
  <c r="G13" i="1"/>
  <c r="H13" i="1"/>
  <c r="I13" i="1"/>
  <c r="J13" i="1"/>
  <c r="K13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6" i="1"/>
  <c r="E16" i="1"/>
  <c r="F16" i="1"/>
  <c r="G16" i="1"/>
  <c r="H16" i="1"/>
  <c r="I16" i="1"/>
  <c r="J16" i="1"/>
  <c r="K16" i="1"/>
  <c r="D17" i="1"/>
  <c r="E17" i="1"/>
  <c r="F17" i="1"/>
  <c r="G17" i="1"/>
  <c r="H17" i="1"/>
  <c r="I17" i="1"/>
  <c r="J17" i="1"/>
  <c r="K17" i="1"/>
  <c r="D18" i="1"/>
  <c r="E18" i="1"/>
  <c r="F18" i="1"/>
  <c r="G18" i="1"/>
  <c r="H18" i="1"/>
  <c r="I18" i="1"/>
  <c r="J18" i="1"/>
  <c r="K18" i="1"/>
  <c r="D19" i="1"/>
  <c r="E19" i="1"/>
  <c r="I19" i="1"/>
  <c r="J19" i="1"/>
  <c r="K19" i="1"/>
  <c r="I20" i="1"/>
  <c r="J20" i="1"/>
  <c r="K20" i="1"/>
  <c r="B21" i="1"/>
  <c r="B22" i="1"/>
  <c r="B23" i="1"/>
  <c r="B20" i="1"/>
  <c r="B18" i="2"/>
  <c r="B19" i="2"/>
  <c r="B20" i="2"/>
  <c r="B21" i="2"/>
  <c r="B17" i="2"/>
  <c r="B17" i="6"/>
  <c r="B12" i="6"/>
  <c r="B5" i="6"/>
  <c r="C20" i="3"/>
  <c r="D20" i="3"/>
  <c r="E20" i="3"/>
  <c r="F20" i="3"/>
  <c r="G20" i="3"/>
  <c r="H20" i="3"/>
  <c r="I20" i="3"/>
  <c r="J20" i="3"/>
  <c r="K20" i="3"/>
  <c r="C23" i="3"/>
  <c r="D23" i="3"/>
  <c r="E23" i="3"/>
  <c r="F23" i="3"/>
  <c r="G23" i="3"/>
  <c r="H23" i="3"/>
  <c r="I23" i="3"/>
  <c r="J23" i="3"/>
  <c r="K23" i="3"/>
  <c r="B91" i="4"/>
  <c r="C15" i="3" s="1"/>
  <c r="B95" i="4"/>
  <c r="C22" i="3" s="1"/>
  <c r="B97" i="4"/>
  <c r="C91" i="4"/>
  <c r="D91" i="4"/>
  <c r="E21" i="3" s="1"/>
  <c r="E91" i="4"/>
  <c r="F21" i="3" s="1"/>
  <c r="F91" i="4"/>
  <c r="G91" i="4"/>
  <c r="H91" i="4"/>
  <c r="I21" i="3" s="1"/>
  <c r="I91" i="4"/>
  <c r="J21" i="3" s="1"/>
  <c r="J91" i="4"/>
  <c r="C95" i="4"/>
  <c r="D22" i="3" s="1"/>
  <c r="D95" i="4"/>
  <c r="E22" i="3" s="1"/>
  <c r="E95" i="4"/>
  <c r="F22" i="3" s="1"/>
  <c r="F95" i="4"/>
  <c r="G22" i="3" s="1"/>
  <c r="G95" i="4"/>
  <c r="H22" i="3" s="1"/>
  <c r="H95" i="4"/>
  <c r="I22" i="3" s="1"/>
  <c r="I95" i="4"/>
  <c r="J22" i="3" s="1"/>
  <c r="J95" i="4"/>
  <c r="K22" i="3" s="1"/>
  <c r="C97" i="4"/>
  <c r="D97" i="4"/>
  <c r="E97" i="4"/>
  <c r="F97" i="4"/>
  <c r="G97" i="4"/>
  <c r="H97" i="4"/>
  <c r="I97" i="4"/>
  <c r="J97" i="4"/>
  <c r="M20" i="3"/>
  <c r="M23" i="3"/>
  <c r="M3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B22" i="6"/>
  <c r="D22" i="6"/>
  <c r="G22" i="6"/>
  <c r="H22" i="6"/>
  <c r="I38" i="1" s="1"/>
  <c r="I22" i="6"/>
  <c r="J21" i="1" s="1"/>
  <c r="J22" i="6"/>
  <c r="L22" i="6"/>
  <c r="J22" i="2" l="1"/>
  <c r="J23" i="2" s="1"/>
  <c r="J38" i="1"/>
  <c r="K15" i="3"/>
  <c r="I22" i="2"/>
  <c r="I23" i="2" s="1"/>
  <c r="H38" i="1"/>
  <c r="H22" i="2"/>
  <c r="H23" i="2" s="1"/>
  <c r="H15" i="3"/>
  <c r="G22" i="2"/>
  <c r="G23" i="2" s="1"/>
  <c r="G15" i="3"/>
  <c r="E38" i="1"/>
  <c r="C23" i="6"/>
  <c r="D15" i="3"/>
  <c r="J24" i="3"/>
  <c r="F24" i="3"/>
  <c r="I24" i="3"/>
  <c r="E24" i="3"/>
  <c r="H21" i="3"/>
  <c r="H24" i="3" s="1"/>
  <c r="D21" i="3"/>
  <c r="D24" i="3" s="1"/>
  <c r="J15" i="3"/>
  <c r="F15" i="3"/>
  <c r="K21" i="3"/>
  <c r="K24" i="3" s="1"/>
  <c r="G21" i="3"/>
  <c r="G24" i="3" s="1"/>
  <c r="C21" i="3"/>
  <c r="C24" i="3" s="1"/>
  <c r="I15" i="3"/>
  <c r="E15" i="3"/>
  <c r="L23" i="3"/>
  <c r="L20" i="3"/>
  <c r="C3" i="7" l="1"/>
  <c r="C4" i="7" s="1"/>
  <c r="D3" i="7"/>
  <c r="D4" i="7" s="1"/>
  <c r="E3" i="7"/>
  <c r="E4" i="7" s="1"/>
  <c r="F3" i="7"/>
  <c r="F4" i="7" s="1"/>
  <c r="G3" i="7"/>
  <c r="G4" i="7" s="1"/>
  <c r="H3" i="7"/>
  <c r="H4" i="7" s="1"/>
  <c r="I3" i="7"/>
  <c r="I4" i="7" s="1"/>
  <c r="J3" i="7"/>
  <c r="J4" i="7" s="1"/>
  <c r="L3" i="7"/>
  <c r="L4" i="7" s="1"/>
  <c r="B3" i="7"/>
  <c r="B4" i="7" s="1"/>
  <c r="D4" i="2" l="1"/>
  <c r="C5" i="2"/>
  <c r="C6" i="2"/>
  <c r="C7" i="2"/>
  <c r="C8" i="2"/>
  <c r="C9" i="2"/>
  <c r="C10" i="2"/>
  <c r="C11" i="2"/>
  <c r="C12" i="2"/>
  <c r="C13" i="2"/>
  <c r="C14" i="2"/>
  <c r="C15" i="2"/>
  <c r="C16" i="2"/>
  <c r="C4" i="2"/>
  <c r="L32" i="1"/>
  <c r="K22" i="6"/>
  <c r="K3" i="7" s="1"/>
  <c r="K4" i="7" s="1"/>
  <c r="M21" i="6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7" i="1"/>
  <c r="B8" i="1"/>
  <c r="B9" i="1"/>
  <c r="B10" i="1"/>
  <c r="B11" i="1"/>
  <c r="B12" i="1"/>
  <c r="B13" i="1"/>
  <c r="B14" i="1"/>
  <c r="B15" i="1"/>
  <c r="B16" i="1"/>
  <c r="B17" i="1"/>
  <c r="B18" i="1"/>
  <c r="B19" i="1"/>
  <c r="B7" i="1"/>
  <c r="L91" i="4" l="1"/>
  <c r="L95" i="4"/>
  <c r="M22" i="3" s="1"/>
  <c r="L97" i="4"/>
  <c r="L100" i="4" s="1"/>
  <c r="K97" i="4"/>
  <c r="K95" i="4"/>
  <c r="L22" i="3" s="1"/>
  <c r="K91" i="4"/>
  <c r="L21" i="3" l="1"/>
  <c r="L24" i="3" s="1"/>
  <c r="L15" i="3"/>
  <c r="M21" i="3"/>
  <c r="M24" i="3" s="1"/>
  <c r="M15" i="3"/>
  <c r="G26" i="7"/>
  <c r="I11" i="7"/>
  <c r="H11" i="7"/>
  <c r="G11" i="7"/>
  <c r="F11" i="7"/>
  <c r="E11" i="7"/>
  <c r="D11" i="7"/>
  <c r="C11" i="7"/>
  <c r="B11" i="7"/>
  <c r="C10" i="7" l="1"/>
  <c r="B10" i="7"/>
  <c r="I10" i="7"/>
  <c r="H10" i="7"/>
  <c r="G10" i="7"/>
  <c r="F10" i="7"/>
  <c r="E10" i="7"/>
  <c r="D10" i="7"/>
  <c r="L10" i="7"/>
  <c r="K10" i="7"/>
  <c r="C68" i="4" l="1"/>
  <c r="C66" i="4" s="1"/>
  <c r="F68" i="4"/>
  <c r="F66" i="4" s="1"/>
  <c r="G68" i="4"/>
  <c r="G66" i="4" s="1"/>
  <c r="H68" i="4"/>
  <c r="H66" i="4" s="1"/>
  <c r="I68" i="4"/>
  <c r="I66" i="4" s="1"/>
  <c r="K68" i="4"/>
  <c r="K66" i="4" s="1"/>
  <c r="L68" i="4"/>
  <c r="L66" i="4" s="1"/>
  <c r="B66" i="4"/>
  <c r="B68" i="4"/>
  <c r="C85" i="4"/>
  <c r="C83" i="4" s="1"/>
  <c r="D85" i="4"/>
  <c r="D83" i="4" s="1"/>
  <c r="E85" i="4"/>
  <c r="E83" i="4" s="1"/>
  <c r="F85" i="4"/>
  <c r="F83" i="4" s="1"/>
  <c r="G85" i="4"/>
  <c r="G83" i="4" s="1"/>
  <c r="H85" i="4"/>
  <c r="H83" i="4" s="1"/>
  <c r="I85" i="4"/>
  <c r="I83" i="4" s="1"/>
  <c r="K85" i="4"/>
  <c r="K83" i="4" s="1"/>
  <c r="L85" i="4"/>
  <c r="L83" i="4" s="1"/>
  <c r="B85" i="4"/>
  <c r="B83" i="4" s="1"/>
  <c r="I51" i="4"/>
  <c r="I49" i="4" s="1"/>
  <c r="K51" i="4"/>
  <c r="K49" i="4" s="1"/>
  <c r="L51" i="4"/>
  <c r="L49" i="4" s="1"/>
  <c r="C34" i="4" l="1"/>
  <c r="C32" i="4" s="1"/>
  <c r="D34" i="4"/>
  <c r="D32" i="4" s="1"/>
  <c r="E34" i="4"/>
  <c r="E32" i="4" s="1"/>
  <c r="F34" i="4"/>
  <c r="F32" i="4" s="1"/>
  <c r="G34" i="4"/>
  <c r="G32" i="4" s="1"/>
  <c r="H34" i="4"/>
  <c r="H32" i="4" s="1"/>
  <c r="I34" i="4"/>
  <c r="I32" i="4" s="1"/>
  <c r="K34" i="4"/>
  <c r="K32" i="4" s="1"/>
  <c r="L34" i="4"/>
  <c r="L32" i="4" s="1"/>
  <c r="B34" i="4"/>
  <c r="B32" i="4" s="1"/>
  <c r="J17" i="4"/>
  <c r="J15" i="4" s="1"/>
  <c r="C6" i="7" l="1"/>
  <c r="B6" i="7"/>
  <c r="G6" i="7"/>
  <c r="H6" i="7"/>
  <c r="F6" i="7"/>
  <c r="E6" i="7"/>
  <c r="E9" i="7"/>
  <c r="E68" i="4" s="1"/>
  <c r="E66" i="4" s="1"/>
  <c r="D9" i="7"/>
  <c r="D68" i="4" s="1"/>
  <c r="D66" i="4" s="1"/>
  <c r="D6" i="7"/>
  <c r="J6" i="7"/>
  <c r="J9" i="7"/>
  <c r="J68" i="4" s="1"/>
  <c r="J66" i="4" s="1"/>
  <c r="J11" i="7"/>
  <c r="J85" i="4" s="1"/>
  <c r="J83" i="4" s="1"/>
  <c r="M83" i="4" s="1"/>
  <c r="J10" i="7"/>
  <c r="L13" i="7"/>
  <c r="K13" i="7"/>
  <c r="I13" i="7"/>
  <c r="H13" i="7"/>
  <c r="H17" i="4" s="1"/>
  <c r="H15" i="4" s="1"/>
  <c r="G13" i="7"/>
  <c r="G17" i="4" s="1"/>
  <c r="G15" i="4" s="1"/>
  <c r="F13" i="7"/>
  <c r="F17" i="4" s="1"/>
  <c r="F15" i="4" s="1"/>
  <c r="E13" i="7"/>
  <c r="E17" i="4" s="1"/>
  <c r="E15" i="4" s="1"/>
  <c r="D13" i="7"/>
  <c r="D17" i="4" s="1"/>
  <c r="D15" i="4" s="1"/>
  <c r="C13" i="7"/>
  <c r="C17" i="4" s="1"/>
  <c r="C15" i="4" s="1"/>
  <c r="B13" i="7"/>
  <c r="B17" i="4" s="1"/>
  <c r="B15" i="4" s="1"/>
  <c r="M5" i="4"/>
  <c r="M4" i="7"/>
  <c r="M7" i="7"/>
  <c r="M8" i="7"/>
  <c r="M11" i="7"/>
  <c r="M12" i="7"/>
  <c r="M14" i="7"/>
  <c r="M3" i="7"/>
  <c r="F21" i="7" l="1"/>
  <c r="J34" i="4"/>
  <c r="J32" i="4" s="1"/>
  <c r="F20" i="7"/>
  <c r="K5" i="7"/>
  <c r="K17" i="4"/>
  <c r="K15" i="4" s="1"/>
  <c r="D5" i="7"/>
  <c r="D51" i="4"/>
  <c r="D49" i="4" s="1"/>
  <c r="F5" i="7"/>
  <c r="F51" i="4"/>
  <c r="F49" i="4" s="1"/>
  <c r="G5" i="7"/>
  <c r="G51" i="4"/>
  <c r="G49" i="4" s="1"/>
  <c r="C5" i="7"/>
  <c r="C51" i="4"/>
  <c r="C49" i="4" s="1"/>
  <c r="M10" i="7"/>
  <c r="I5" i="7"/>
  <c r="I17" i="4"/>
  <c r="I15" i="4" s="1"/>
  <c r="L5" i="7"/>
  <c r="L17" i="4"/>
  <c r="L15" i="4" s="1"/>
  <c r="J5" i="7"/>
  <c r="J51" i="4"/>
  <c r="J49" i="4" s="1"/>
  <c r="E5" i="7"/>
  <c r="E51" i="4"/>
  <c r="E49" i="4" s="1"/>
  <c r="H5" i="7"/>
  <c r="H51" i="4"/>
  <c r="H49" i="4" s="1"/>
  <c r="B5" i="7"/>
  <c r="B51" i="4"/>
  <c r="B49" i="4" s="1"/>
  <c r="M9" i="7"/>
  <c r="M6" i="7"/>
  <c r="M13" i="7"/>
  <c r="M15" i="7" l="1"/>
  <c r="M5" i="7"/>
  <c r="G27" i="7" s="1"/>
  <c r="N34" i="1"/>
  <c r="N35" i="1"/>
  <c r="C36" i="1" l="1"/>
  <c r="M17" i="7"/>
  <c r="K18" i="7" s="1"/>
  <c r="J18" i="7" l="1"/>
  <c r="B18" i="7"/>
  <c r="F18" i="7"/>
  <c r="D18" i="7"/>
  <c r="H18" i="7"/>
  <c r="L18" i="7"/>
  <c r="C18" i="7"/>
  <c r="E18" i="7"/>
  <c r="G18" i="7"/>
  <c r="I18" i="7"/>
  <c r="H36" i="1" l="1"/>
  <c r="O6" i="3"/>
  <c r="O5" i="3"/>
  <c r="O4" i="3"/>
  <c r="O3" i="3"/>
  <c r="N4" i="1"/>
  <c r="N6" i="1"/>
  <c r="N8" i="1"/>
  <c r="N9" i="1"/>
  <c r="N26" i="1"/>
  <c r="N28" i="1"/>
  <c r="N29" i="1"/>
  <c r="N30" i="1"/>
  <c r="N31" i="1"/>
  <c r="N32" i="1"/>
  <c r="N33" i="1"/>
  <c r="D5" i="2"/>
  <c r="D6" i="2"/>
  <c r="D7" i="2"/>
  <c r="D8" i="2"/>
  <c r="D9" i="2"/>
  <c r="D10" i="2"/>
  <c r="D11" i="2"/>
  <c r="D12" i="2"/>
  <c r="D13" i="2"/>
  <c r="D14" i="2"/>
  <c r="D15" i="2"/>
  <c r="D16" i="2"/>
  <c r="M10" i="6"/>
  <c r="M11" i="6"/>
  <c r="M12" i="6"/>
  <c r="M13" i="6"/>
  <c r="M14" i="6"/>
  <c r="M15" i="6"/>
  <c r="M16" i="6"/>
  <c r="D36" i="1" l="1"/>
  <c r="E36" i="1"/>
  <c r="G36" i="1"/>
  <c r="N5" i="1"/>
  <c r="N3" i="1"/>
  <c r="M15" i="4"/>
  <c r="M28" i="4"/>
  <c r="M58" i="4"/>
  <c r="M8" i="6"/>
  <c r="M9" i="6"/>
  <c r="M3" i="6"/>
  <c r="M87" i="4"/>
  <c r="M85" i="4"/>
  <c r="M81" i="4"/>
  <c r="M79" i="4"/>
  <c r="M77" i="4"/>
  <c r="M73" i="4"/>
  <c r="M70" i="4"/>
  <c r="M68" i="4"/>
  <c r="M64" i="4"/>
  <c r="M62" i="4"/>
  <c r="M60" i="4"/>
  <c r="M56" i="4"/>
  <c r="M53" i="4"/>
  <c r="M45" i="4"/>
  <c r="M43" i="4"/>
  <c r="M24" i="4"/>
  <c r="M26" i="4"/>
  <c r="M30" i="4"/>
  <c r="M34" i="4"/>
  <c r="M36" i="4"/>
  <c r="M22" i="4"/>
  <c r="M19" i="4"/>
  <c r="M7" i="4"/>
  <c r="M9" i="4"/>
  <c r="M11" i="4"/>
  <c r="M13" i="4"/>
  <c r="M97" i="4" l="1"/>
  <c r="M95" i="4"/>
  <c r="M17" i="4"/>
  <c r="M90" i="4"/>
  <c r="N7" i="1"/>
  <c r="N27" i="1"/>
  <c r="M39" i="4"/>
  <c r="M91" i="4" s="1"/>
  <c r="M66" i="4"/>
  <c r="M32" i="4"/>
  <c r="M41" i="4"/>
  <c r="M75" i="4"/>
  <c r="O13" i="3"/>
  <c r="O12" i="3"/>
  <c r="O11" i="3"/>
  <c r="O10" i="3"/>
  <c r="O9" i="3"/>
  <c r="O7" i="3"/>
  <c r="O8" i="3" l="1"/>
  <c r="M6" i="6" l="1"/>
  <c r="M4" i="6"/>
  <c r="M7" i="6"/>
  <c r="M5" i="6" l="1"/>
  <c r="M22" i="6" s="1"/>
  <c r="N17" i="2" l="1"/>
  <c r="M51" i="4"/>
  <c r="N18" i="2" l="1"/>
  <c r="N19" i="2" s="1"/>
  <c r="M47" i="4"/>
  <c r="N20" i="2" l="1"/>
  <c r="M49" i="4"/>
  <c r="N36" i="1"/>
  <c r="N21" i="2" l="1"/>
  <c r="N22" i="2" s="1"/>
</calcChain>
</file>

<file path=xl/sharedStrings.xml><?xml version="1.0" encoding="utf-8"?>
<sst xmlns="http://schemas.openxmlformats.org/spreadsheetml/2006/main" count="263" uniqueCount="134">
  <si>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</si>
  <si>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</si>
  <si>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</si>
  <si>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</si>
  <si>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</si>
  <si>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</si>
  <si>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</si>
  <si>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</si>
  <si>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</si>
  <si>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</si>
  <si>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</si>
  <si>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</si>
  <si>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</si>
  <si>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</si>
  <si>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Данные за период управления:</t>
  </si>
  <si>
    <t>Работы по содержанию и ремонту лифта (лифтов) в многоквартирном доме</t>
  </si>
  <si>
    <t>Работы по содержанию и ремонту мусоропроводов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</si>
  <si>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</si>
  <si>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</si>
  <si>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</si>
  <si>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Проведение дератизации и дезинсекции помещений, входящих в состав общего 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</si>
  <si>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</si>
  <si>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</si>
  <si>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Работы по содержанию и ремонту систем дымоудаления и вентиляции</t>
  </si>
  <si>
    <t>Работы по обеспечению требований пожарной безопасности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</si>
  <si>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</si>
  <si>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</si>
  <si>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помещений, входящих в состав общего имущества в многоквартирном доме</t>
  </si>
  <si>
    <t>(отчеты по управлению) - выполненные работы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</si>
  <si>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</si>
  <si>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</si>
  <si>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</si>
  <si>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</si>
  <si>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(отчеты по управлению) - коммунальные услуги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</si>
  <si>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</si>
  <si>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</si>
  <si>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</si>
  <si>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</si>
  <si>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</si>
  <si>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</si>
  <si>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(отчеты по управлению) - объемы по коммунальным услугам</t>
  </si>
  <si>
    <t>Электроснабжение (начислено потребителям)</t>
  </si>
  <si>
    <t>Холодное водоснабжение (начислено потребителям)</t>
  </si>
  <si>
    <t>Отопление (начислено потребителям)</t>
  </si>
  <si>
    <t>Горячее водоснабжение (начислено потребителям)</t>
  </si>
  <si>
    <t>Водоотведение (начислено потребителям)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</si>
  <si>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</si>
  <si>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</si>
  <si>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</si>
  <si>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(отчеты по управлению) претензионно-исковая работа</t>
  </si>
  <si>
    <t xml:space="preserve"> (отчеты по управлению) - общая информация</t>
  </si>
  <si>
    <t>(управление) - выполняемые работы (услуги)</t>
  </si>
  <si>
    <t>Общая задолженность по тепловой энергии, руб.</t>
  </si>
  <si>
    <t>Общая задолженность по тепловой энергии для нужд отопления, руб.</t>
  </si>
  <si>
    <t>Общая задолженность по тепловой энергии для нужд горячего водоснабжения, руб.</t>
  </si>
  <si>
    <t>Общая задолженность по горячей воде, руб.</t>
  </si>
  <si>
    <t>Общая задолженность по холодной воде, руб.</t>
  </si>
  <si>
    <t>Общая задолженность по водоотведению, руб.</t>
  </si>
  <si>
    <t>Общая задолженность по поставке газа, руб.</t>
  </si>
  <si>
    <t>Общая задолженность по электрической энергии, руб.</t>
  </si>
  <si>
    <t>Общая задолженность по прочим ресурсам (услугам), руб.</t>
  </si>
  <si>
    <t>Данные УК основные финансовые показатели</t>
  </si>
  <si>
    <t>Данные по МКД</t>
  </si>
  <si>
    <t>2015 г.</t>
  </si>
  <si>
    <t>ВСЕГО</t>
  </si>
  <si>
    <t>Общий объем потребления,КВт.</t>
  </si>
  <si>
    <t>Общий объем потребления, м.3</t>
  </si>
  <si>
    <t>Общий объем потребления, Гкал.</t>
  </si>
  <si>
    <t>Данные по МКД-1</t>
  </si>
  <si>
    <t>Начислено потребителям, руб.</t>
  </si>
  <si>
    <t>Всего</t>
  </si>
  <si>
    <r>
  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 (</t>
    </r>
    <r>
      <rPr>
        <sz val="11"/>
        <color rgb="FFFF0000"/>
        <rFont val="Arial"/>
        <family val="2"/>
        <charset val="204"/>
      </rPr>
      <t>в т.ч. ОПУ</t>
    </r>
    <r>
      <rPr>
        <sz val="11"/>
        <color rgb="FF717171"/>
        <rFont val="Arial"/>
        <family val="2"/>
        <charset val="204"/>
      </rPr>
      <t>)</t>
    </r>
  </si>
  <si>
    <t>сч.76,09</t>
  </si>
  <si>
    <t>отчет СКАУТ</t>
  </si>
  <si>
    <t>ВСЕГО оплачено</t>
  </si>
  <si>
    <t>Прив.1А/1</t>
  </si>
  <si>
    <t>Прив.1А/2</t>
  </si>
  <si>
    <t>Европейский 13\1</t>
  </si>
  <si>
    <t>Европейский 13\3</t>
  </si>
  <si>
    <t>Прив.5А/1</t>
  </si>
  <si>
    <t>Прив.5А/2</t>
  </si>
  <si>
    <t>Прив.5А/3</t>
  </si>
  <si>
    <t>Прив.5А/4</t>
  </si>
  <si>
    <t>Прив.5А/5</t>
  </si>
  <si>
    <t>Прив.5А/6</t>
  </si>
  <si>
    <t>Передовиков 3\2</t>
  </si>
  <si>
    <t>сч.76.13</t>
  </si>
  <si>
    <t>в Отоплении</t>
  </si>
  <si>
    <t>из Кварты</t>
  </si>
  <si>
    <t>сч.60</t>
  </si>
  <si>
    <t>Кварта</t>
  </si>
  <si>
    <t>суммы начислений исходя из действ. Тарифов\площадей</t>
  </si>
  <si>
    <t>п.Мурино, пл.Привокзальная .д.1А, корп.1</t>
  </si>
  <si>
    <t>п.Мурино, пл.Привокзальная .д.1А, корп.2</t>
  </si>
  <si>
    <t>п.Мурино, пл.Привокзальная д.5А, корп.1</t>
  </si>
  <si>
    <t>п.Мурино, пл.Привокзальная д.5А, корп.2</t>
  </si>
  <si>
    <t>п.Мурино, пл.Привокзальная д.5А, корп.3</t>
  </si>
  <si>
    <t>п.Мурино, пл.Привокзальная д.5А, корп.4</t>
  </si>
  <si>
    <t>п.Мурино, пл.Привокзальная д.5А, корп.5</t>
  </si>
  <si>
    <t>п.Мурино, пл.Привокзальная д.5А, корп.6</t>
  </si>
  <si>
    <t>СПб, ул.Передовиков д.3, корп.2</t>
  </si>
  <si>
    <t>д.Кудрово, пр.Европейский д.13, корп.1</t>
  </si>
  <si>
    <t>д.Кудрово, пр.Европейский д.13, корп.3</t>
  </si>
  <si>
    <t>Мурино, Привокзальная пл.1А/1</t>
  </si>
  <si>
    <t>Мурино, Привокзальная пл.1А/2</t>
  </si>
  <si>
    <t>Мурино, Привокзальная пл.5А/1</t>
  </si>
  <si>
    <t>Мурино, Привокзальная пл.5А/2</t>
  </si>
  <si>
    <t>Мурино, Привокзальная пл.5А/3</t>
  </si>
  <si>
    <t>Мурино, Привокзальная пл.5А/4</t>
  </si>
  <si>
    <t>Мурино, Привокзальная пл.5А/5</t>
  </si>
  <si>
    <t>Мурино, Привокзальная пл.5А/6</t>
  </si>
  <si>
    <t>ул.Передовиков 3\2</t>
  </si>
  <si>
    <t>Кудрово, пр.Европейский 13\1</t>
  </si>
  <si>
    <t>Кудрово, Европейский 13\3</t>
  </si>
  <si>
    <t>2016 г.</t>
  </si>
  <si>
    <r>
      <t xml:space="preserve">Задолженность перед поставщиком (поставщиками) коммунального ресурса на </t>
    </r>
    <r>
      <rPr>
        <sz val="11"/>
        <color rgb="FFFF0000"/>
        <rFont val="Arial"/>
        <family val="2"/>
        <charset val="204"/>
      </rPr>
      <t>01.01.2017</t>
    </r>
    <r>
      <rPr>
        <sz val="11"/>
        <color rgb="FF717171"/>
        <rFont val="Arial"/>
        <family val="2"/>
        <charset val="204"/>
      </rPr>
      <t>, руб.</t>
    </r>
  </si>
  <si>
    <t>Водоканал Санкт-Петербурга ГУП</t>
  </si>
  <si>
    <t>ГУП "ТЭК СПб"</t>
  </si>
  <si>
    <t>Заневка СМЭУ  ООО</t>
  </si>
  <si>
    <t>ЛенОблВод-Инвест ООО</t>
  </si>
  <si>
    <t>Петербургская сбытовая компания АО (Бугры)</t>
  </si>
  <si>
    <t>ТГК-1 ПАО</t>
  </si>
  <si>
    <t>разница</t>
  </si>
  <si>
    <t>есть</t>
  </si>
  <si>
    <t>???</t>
  </si>
  <si>
    <t>Эксплуатация ОПУ</t>
  </si>
  <si>
    <t>текущий ремонт</t>
  </si>
  <si>
    <t>Содержание ПЗУ</t>
  </si>
  <si>
    <t>Итого</t>
  </si>
  <si>
    <t>Уборка лестничных клеток</t>
  </si>
  <si>
    <t>Содержание ИТП</t>
  </si>
  <si>
    <t>Сведения о доходах, полученных за оказание услуг по управлению многоквартирными домами</t>
  </si>
  <si>
    <t>Сведения о расходах, понесенных в связи с оказанием услуг по управлению многоквартирными домами</t>
  </si>
  <si>
    <t>Общая задолженность управляющей организации (индивидуального предпринимателя) перед ресурсоснабжающими организациями на 01.01.2017: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</si>
</sst>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717171"/>
      <name val="Arial"/>
      <family val="2"/>
      <charset val="204"/>
    </font>
    <font>
      <sz val="12"/>
      <color rgb="FF71717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71717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7030A0"/>
      <name val="Calibri"/>
      <family val="2"/>
      <charset val="204"/>
      <scheme val="minor"/>
    </font>
    <font>
      <sz val="8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b/>
      <sz val="9"/>
      <name val="Calibri"/>
      <family val="2"/>
      <charset val="204"/>
      <scheme val="minor"/>
    </font>
    <font>
      <b/>
      <sz val="11"/>
      <color rgb="FF71717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6" fillId="0" borderId="0"/>
  </cellStyleXfs>
  <cellXfs count="141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/>
    <xf numFmtId="0" fontId="0" fillId="0" borderId="0" xfId="0" applyAlignment="1"/>
    <xf numFmtId="0" fontId="9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5" fillId="0" borderId="0" xfId="0" applyFont="1"/>
    <xf numFmtId="0" fontId="16" fillId="0" borderId="0" xfId="0" applyFont="1"/>
    <xf numFmtId="0" fontId="17" fillId="0" borderId="0" xfId="0" applyFont="1"/>
    <xf numFmtId="4" fontId="16" fillId="0" borderId="0" xfId="0" applyNumberFormat="1" applyFont="1"/>
    <xf numFmtId="0" fontId="1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4" fontId="19" fillId="0" borderId="1" xfId="0" applyNumberFormat="1" applyFont="1" applyBorder="1"/>
    <xf numFmtId="4" fontId="19" fillId="0" borderId="4" xfId="0" applyNumberFormat="1" applyFont="1" applyBorder="1"/>
    <xf numFmtId="4" fontId="20" fillId="0" borderId="4" xfId="0" applyNumberFormat="1" applyFont="1" applyBorder="1"/>
    <xf numFmtId="0" fontId="20" fillId="0" borderId="5" xfId="0" applyFont="1" applyBorder="1"/>
    <xf numFmtId="0" fontId="20" fillId="0" borderId="6" xfId="0" applyFont="1" applyBorder="1"/>
    <xf numFmtId="4" fontId="20" fillId="0" borderId="7" xfId="0" applyNumberFormat="1" applyFont="1" applyBorder="1"/>
    <xf numFmtId="0" fontId="1" fillId="0" borderId="7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" fontId="21" fillId="0" borderId="1" xfId="0" applyNumberFormat="1" applyFont="1" applyBorder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1" xfId="0" applyFill="1" applyBorder="1"/>
    <xf numFmtId="4" fontId="0" fillId="0" borderId="0" xfId="0" applyNumberFormat="1"/>
    <xf numFmtId="4" fontId="18" fillId="2" borderId="1" xfId="0" applyNumberFormat="1" applyFont="1" applyFill="1" applyBorder="1" applyAlignment="1">
      <alignment horizontal="right" vertical="center" wrapText="1" indent="1"/>
    </xf>
    <xf numFmtId="4" fontId="11" fillId="2" borderId="1" xfId="0" applyNumberFormat="1" applyFont="1" applyFill="1" applyBorder="1" applyAlignment="1">
      <alignment horizontal="right" vertical="center" wrapText="1" indent="1"/>
    </xf>
    <xf numFmtId="4" fontId="24" fillId="0" borderId="1" xfId="0" applyNumberFormat="1" applyFont="1" applyFill="1" applyBorder="1" applyAlignment="1">
      <alignment horizontal="right" vertical="center" wrapText="1" indent="1"/>
    </xf>
    <xf numFmtId="0" fontId="19" fillId="0" borderId="0" xfId="0" applyFont="1"/>
    <xf numFmtId="3" fontId="23" fillId="2" borderId="1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vertical="center" wrapText="1"/>
    </xf>
    <xf numFmtId="0" fontId="20" fillId="0" borderId="8" xfId="0" applyFont="1" applyBorder="1"/>
    <xf numFmtId="0" fontId="15" fillId="0" borderId="0" xfId="0" applyFont="1" applyAlignment="1">
      <alignment wrapText="1"/>
    </xf>
    <xf numFmtId="4" fontId="17" fillId="0" borderId="0" xfId="0" applyNumberFormat="1" applyFont="1"/>
    <xf numFmtId="4" fontId="19" fillId="0" borderId="1" xfId="0" applyNumberFormat="1" applyFont="1" applyFill="1" applyBorder="1"/>
    <xf numFmtId="0" fontId="12" fillId="0" borderId="0" xfId="0" applyFont="1"/>
    <xf numFmtId="0" fontId="16" fillId="0" borderId="0" xfId="0" applyFont="1" applyAlignment="1"/>
    <xf numFmtId="0" fontId="1" fillId="0" borderId="0" xfId="0" applyFont="1" applyAlignment="1">
      <alignment horizontal="center"/>
    </xf>
    <xf numFmtId="3" fontId="22" fillId="0" borderId="1" xfId="0" applyNumberFormat="1" applyFont="1" applyFill="1" applyBorder="1" applyAlignment="1">
      <alignment vertical="center" wrapText="1"/>
    </xf>
    <xf numFmtId="0" fontId="15" fillId="0" borderId="0" xfId="0" applyFont="1"/>
    <xf numFmtId="4" fontId="12" fillId="0" borderId="0" xfId="0" applyNumberFormat="1" applyFont="1"/>
    <xf numFmtId="4" fontId="15" fillId="0" borderId="0" xfId="0" applyNumberFormat="1" applyFont="1"/>
    <xf numFmtId="0" fontId="1" fillId="0" borderId="0" xfId="0" applyFont="1" applyFill="1"/>
    <xf numFmtId="0" fontId="1" fillId="0" borderId="1" xfId="0" applyFont="1" applyFill="1" applyBorder="1"/>
    <xf numFmtId="4" fontId="17" fillId="0" borderId="0" xfId="0" applyNumberFormat="1" applyFont="1" applyFill="1"/>
    <xf numFmtId="4" fontId="1" fillId="0" borderId="0" xfId="0" applyNumberFormat="1" applyFont="1" applyFill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2" fontId="10" fillId="0" borderId="1" xfId="0" applyNumberFormat="1" applyFont="1" applyBorder="1"/>
    <xf numFmtId="2" fontId="13" fillId="0" borderId="1" xfId="0" applyNumberFormat="1" applyFont="1" applyBorder="1"/>
    <xf numFmtId="2" fontId="10" fillId="0" borderId="1" xfId="0" applyNumberFormat="1" applyFont="1" applyFill="1" applyBorder="1"/>
    <xf numFmtId="2" fontId="11" fillId="0" borderId="1" xfId="0" applyNumberFormat="1" applyFont="1" applyBorder="1"/>
    <xf numFmtId="2" fontId="8" fillId="0" borderId="1" xfId="0" applyNumberFormat="1" applyFont="1" applyFill="1" applyBorder="1"/>
    <xf numFmtId="2" fontId="14" fillId="0" borderId="1" xfId="0" applyNumberFormat="1" applyFont="1" applyBorder="1"/>
    <xf numFmtId="2" fontId="14" fillId="0" borderId="1" xfId="0" applyNumberFormat="1" applyFont="1" applyFill="1" applyBorder="1"/>
    <xf numFmtId="2" fontId="11" fillId="0" borderId="1" xfId="0" applyNumberFormat="1" applyFont="1" applyFill="1" applyBorder="1"/>
    <xf numFmtId="2" fontId="13" fillId="0" borderId="1" xfId="0" applyNumberFormat="1" applyFont="1" applyFill="1" applyBorder="1"/>
    <xf numFmtId="2" fontId="6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ill="1" applyBorder="1"/>
    <xf numFmtId="2" fontId="6" fillId="0" borderId="1" xfId="0" applyNumberFormat="1" applyFont="1" applyFill="1" applyBorder="1"/>
    <xf numFmtId="2" fontId="0" fillId="0" borderId="0" xfId="0" applyNumberFormat="1"/>
    <xf numFmtId="4" fontId="0" fillId="0" borderId="1" xfId="0" applyNumberFormat="1" applyBorder="1"/>
    <xf numFmtId="4" fontId="6" fillId="0" borderId="1" xfId="0" applyNumberFormat="1" applyFont="1" applyBorder="1"/>
    <xf numFmtId="4" fontId="8" fillId="0" borderId="1" xfId="0" applyNumberFormat="1" applyFont="1" applyFill="1" applyBorder="1"/>
    <xf numFmtId="4" fontId="14" fillId="0" borderId="1" xfId="0" applyNumberFormat="1" applyFont="1" applyFill="1" applyBorder="1"/>
    <xf numFmtId="4" fontId="11" fillId="0" borderId="1" xfId="0" applyNumberFormat="1" applyFont="1" applyFill="1" applyBorder="1"/>
    <xf numFmtId="4" fontId="13" fillId="0" borderId="1" xfId="0" applyNumberFormat="1" applyFont="1" applyFill="1" applyBorder="1"/>
    <xf numFmtId="4" fontId="25" fillId="0" borderId="1" xfId="0" applyNumberFormat="1" applyFont="1" applyFill="1" applyBorder="1"/>
    <xf numFmtId="4" fontId="0" fillId="0" borderId="1" xfId="0" applyNumberFormat="1" applyFill="1" applyBorder="1"/>
    <xf numFmtId="4" fontId="6" fillId="0" borderId="1" xfId="0" applyNumberFormat="1" applyFont="1" applyFill="1" applyBorder="1"/>
    <xf numFmtId="4" fontId="5" fillId="0" borderId="0" xfId="0" applyNumberFormat="1" applyFont="1"/>
    <xf numFmtId="4" fontId="0" fillId="0" borderId="0" xfId="0" applyNumberFormat="1" applyFill="1"/>
    <xf numFmtId="4" fontId="6" fillId="0" borderId="0" xfId="0" applyNumberFormat="1" applyFont="1"/>
    <xf numFmtId="4" fontId="1" fillId="0" borderId="0" xfId="0" applyNumberFormat="1" applyFont="1"/>
    <xf numFmtId="0" fontId="27" fillId="4" borderId="9" xfId="1" applyNumberFormat="1" applyFont="1" applyFill="1" applyBorder="1" applyAlignment="1">
      <alignment horizontal="left" vertical="top" wrapText="1" indent="2"/>
    </xf>
    <xf numFmtId="0" fontId="27" fillId="4" borderId="9" xfId="1" applyNumberFormat="1" applyFont="1" applyFill="1" applyBorder="1" applyAlignment="1">
      <alignment horizontal="right" vertical="top" wrapText="1"/>
    </xf>
    <xf numFmtId="4" fontId="27" fillId="4" borderId="9" xfId="1" applyNumberFormat="1" applyFont="1" applyFill="1" applyBorder="1" applyAlignment="1">
      <alignment horizontal="right" vertical="top" wrapText="1"/>
    </xf>
    <xf numFmtId="4" fontId="12" fillId="5" borderId="0" xfId="0" applyNumberFormat="1" applyFont="1" applyFill="1"/>
    <xf numFmtId="4" fontId="1" fillId="0" borderId="0" xfId="0" applyNumberFormat="1" applyFont="1" applyAlignment="1">
      <alignment horizontal="right"/>
    </xf>
    <xf numFmtId="0" fontId="0" fillId="0" borderId="0" xfId="0" applyFill="1"/>
    <xf numFmtId="4" fontId="28" fillId="0" borderId="9" xfId="1" applyNumberFormat="1" applyFont="1" applyFill="1" applyBorder="1" applyAlignment="1">
      <alignment horizontal="right" vertical="top" wrapText="1"/>
    </xf>
    <xf numFmtId="4" fontId="29" fillId="0" borderId="1" xfId="0" applyNumberFormat="1" applyFont="1" applyBorder="1"/>
    <xf numFmtId="0" fontId="30" fillId="3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2" fontId="33" fillId="2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center" wrapText="1" indent="1"/>
    </xf>
    <xf numFmtId="4" fontId="13" fillId="2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 indent="1"/>
    </xf>
    <xf numFmtId="4" fontId="13" fillId="0" borderId="1" xfId="0" applyNumberFormat="1" applyFont="1" applyFill="1" applyBorder="1" applyAlignment="1">
      <alignment wrapText="1"/>
    </xf>
    <xf numFmtId="4" fontId="34" fillId="0" borderId="1" xfId="0" applyNumberFormat="1" applyFont="1" applyFill="1" applyBorder="1" applyAlignment="1">
      <alignment wrapText="1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" fontId="16" fillId="0" borderId="0" xfId="0" applyNumberFormat="1" applyFont="1" applyFill="1"/>
    <xf numFmtId="4" fontId="5" fillId="0" borderId="0" xfId="0" applyNumberFormat="1" applyFont="1" applyFill="1"/>
    <xf numFmtId="0" fontId="9" fillId="0" borderId="1" xfId="0" applyFont="1" applyFill="1" applyBorder="1" applyAlignment="1">
      <alignment horizontal="left" vertical="center"/>
    </xf>
    <xf numFmtId="4" fontId="15" fillId="0" borderId="0" xfId="0" applyNumberFormat="1" applyFont="1" applyFill="1"/>
    <xf numFmtId="4" fontId="10" fillId="0" borderId="0" xfId="0" applyNumberFormat="1" applyFont="1" applyFill="1"/>
    <xf numFmtId="0" fontId="10" fillId="0" borderId="0" xfId="0" applyFont="1" applyFill="1"/>
    <xf numFmtId="0" fontId="18" fillId="0" borderId="1" xfId="0" applyFont="1" applyFill="1" applyBorder="1" applyAlignment="1">
      <alignment horizontal="left" vertical="center"/>
    </xf>
    <xf numFmtId="4" fontId="10" fillId="0" borderId="1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31" fillId="0" borderId="0" xfId="0" applyFont="1"/>
    <xf numFmtId="0" fontId="35" fillId="0" borderId="0" xfId="0" applyFont="1"/>
    <xf numFmtId="0" fontId="31" fillId="0" borderId="0" xfId="0" applyFont="1" applyFill="1"/>
    <xf numFmtId="4" fontId="35" fillId="0" borderId="0" xfId="0" applyNumberFormat="1" applyFont="1"/>
    <xf numFmtId="0" fontId="35" fillId="0" borderId="0" xfId="0" applyFont="1" applyAlignment="1"/>
    <xf numFmtId="4" fontId="36" fillId="0" borderId="0" xfId="0" applyNumberFormat="1" applyFont="1" applyFill="1"/>
    <xf numFmtId="0" fontId="0" fillId="0" borderId="0" xfId="0" applyBorder="1"/>
    <xf numFmtId="0" fontId="31" fillId="0" borderId="0" xfId="0" applyFont="1" applyBorder="1" applyAlignment="1">
      <alignment horizontal="center" vertical="center"/>
    </xf>
    <xf numFmtId="4" fontId="37" fillId="0" borderId="0" xfId="0" applyNumberFormat="1" applyFont="1" applyBorder="1"/>
    <xf numFmtId="4" fontId="35" fillId="0" borderId="0" xfId="0" applyNumberFormat="1" applyFont="1" applyBorder="1"/>
    <xf numFmtId="0" fontId="1" fillId="0" borderId="0" xfId="0" applyFont="1" applyBorder="1" applyAlignment="1">
      <alignment horizontal="center"/>
    </xf>
    <xf numFmtId="4" fontId="38" fillId="0" borderId="0" xfId="0" applyNumberFormat="1" applyFont="1" applyFill="1" applyBorder="1" applyAlignment="1">
      <alignment horizontal="right" vertical="center" wrapText="1" indent="1"/>
    </xf>
    <xf numFmtId="3" fontId="32" fillId="0" borderId="0" xfId="0" applyNumberFormat="1" applyFont="1"/>
  </cellXfs>
  <cellStyles count="2">
    <cellStyle name="Обычный" xfId="0" builtinId="0"/>
    <cellStyle name="Обычный_Данные по У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3\&#1055;&#1086;&#1083;&#1100;&#1079;&#1086;&#1074;&#1072;&#1090;&#1077;&#1083;&#1080;$\&#1056;&#1078;&#1072;&#1085;&#1086;&#1074;&#1072;%20&#1051;\&#1056;&#1072;&#1073;&#1086;&#1095;&#1080;&#1081;%20&#1089;&#1090;&#1086;&#1083;\13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9">
          <cell r="N79">
            <v>14676.910285390521</v>
          </cell>
          <cell r="O79">
            <v>1319553.2875601344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7" sqref="I7"/>
    </sheetView>
  </sheetViews>
  <sheetFormatPr defaultRowHeight="15" x14ac:dyDescent="0.25"/>
  <cols>
    <col min="1" max="1" width="48.42578125" customWidth="1"/>
    <col min="2" max="2" width="13.7109375" customWidth="1"/>
    <col min="3" max="3" width="13.28515625" customWidth="1"/>
    <col min="4" max="5" width="12.28515625" bestFit="1" customWidth="1"/>
    <col min="6" max="12" width="11.85546875" customWidth="1"/>
    <col min="13" max="13" width="13.140625" style="9" customWidth="1"/>
    <col min="14" max="16" width="12.5703125" customWidth="1"/>
  </cols>
  <sheetData>
    <row r="1" spans="1:18" x14ac:dyDescent="0.25">
      <c r="B1" s="98" t="s">
        <v>114</v>
      </c>
      <c r="C1" s="98"/>
      <c r="D1" s="98"/>
      <c r="E1" s="98"/>
      <c r="F1" s="33"/>
      <c r="G1" s="33"/>
      <c r="H1" s="50"/>
      <c r="I1" s="50"/>
      <c r="J1" s="50"/>
      <c r="K1" s="50"/>
      <c r="L1" s="50"/>
    </row>
    <row r="2" spans="1:18" ht="75" x14ac:dyDescent="0.25">
      <c r="A2" s="100" t="s">
        <v>61</v>
      </c>
      <c r="B2" s="101" t="s">
        <v>92</v>
      </c>
      <c r="C2" s="101" t="s">
        <v>93</v>
      </c>
      <c r="D2" s="101" t="s">
        <v>94</v>
      </c>
      <c r="E2" s="101" t="s">
        <v>95</v>
      </c>
      <c r="F2" s="101" t="s">
        <v>96</v>
      </c>
      <c r="G2" s="101" t="s">
        <v>97</v>
      </c>
      <c r="H2" s="101" t="s">
        <v>98</v>
      </c>
      <c r="I2" s="101" t="s">
        <v>99</v>
      </c>
      <c r="J2" s="101" t="s">
        <v>100</v>
      </c>
      <c r="K2" s="101" t="s">
        <v>101</v>
      </c>
      <c r="L2" s="101" t="s">
        <v>102</v>
      </c>
      <c r="M2" s="102" t="s">
        <v>64</v>
      </c>
    </row>
    <row r="3" spans="1:18" ht="32.25" customHeight="1" x14ac:dyDescent="0.25">
      <c r="A3" s="103" t="s">
        <v>131</v>
      </c>
      <c r="B3" s="104">
        <f>'Данные по МКД-6'!B22</f>
        <v>10421936.630000001</v>
      </c>
      <c r="C3" s="104">
        <f>'Данные по МКД-6'!C22</f>
        <v>3980317.0399999996</v>
      </c>
      <c r="D3" s="104">
        <f>'Данные по МКД-6'!D22</f>
        <v>2964186.3200000003</v>
      </c>
      <c r="E3" s="104">
        <f>'Данные по МКД-6'!E22</f>
        <v>2433359.0300000003</v>
      </c>
      <c r="F3" s="104">
        <f>'Данные по МКД-6'!F22</f>
        <v>3076078.45</v>
      </c>
      <c r="G3" s="104">
        <f>'Данные по МКД-6'!G22</f>
        <v>2539349.94</v>
      </c>
      <c r="H3" s="104">
        <f>'Данные по МКД-6'!H22</f>
        <v>3949235.6900000004</v>
      </c>
      <c r="I3" s="104">
        <f>'Данные по МКД-6'!I22</f>
        <v>3758694.7</v>
      </c>
      <c r="J3" s="104">
        <f>'Данные по МКД-6'!J22</f>
        <v>0</v>
      </c>
      <c r="K3" s="104">
        <f>'Данные по МКД-6'!K22</f>
        <v>7195785.5599999996</v>
      </c>
      <c r="L3" s="104">
        <f>'Данные по МКД-6'!L22</f>
        <v>3701387.6</v>
      </c>
      <c r="M3" s="105">
        <f>B3+C3+D3+E3+F3+G3+H3+I3+J3+K3+L3</f>
        <v>44020330.960000008</v>
      </c>
    </row>
    <row r="4" spans="1:18" ht="27.6" customHeight="1" x14ac:dyDescent="0.25">
      <c r="A4" s="103" t="s">
        <v>132</v>
      </c>
      <c r="B4" s="104">
        <f>B3</f>
        <v>10421936.630000001</v>
      </c>
      <c r="C4" s="104">
        <f t="shared" ref="C4:L4" si="0">C3</f>
        <v>3980317.0399999996</v>
      </c>
      <c r="D4" s="104">
        <f t="shared" si="0"/>
        <v>2964186.3200000003</v>
      </c>
      <c r="E4" s="104">
        <f t="shared" si="0"/>
        <v>2433359.0300000003</v>
      </c>
      <c r="F4" s="104">
        <f t="shared" si="0"/>
        <v>3076078.45</v>
      </c>
      <c r="G4" s="104">
        <f t="shared" si="0"/>
        <v>2539349.94</v>
      </c>
      <c r="H4" s="104">
        <f t="shared" si="0"/>
        <v>3949235.6900000004</v>
      </c>
      <c r="I4" s="104">
        <f t="shared" si="0"/>
        <v>3758694.7</v>
      </c>
      <c r="J4" s="104">
        <f t="shared" si="0"/>
        <v>0</v>
      </c>
      <c r="K4" s="104">
        <f t="shared" si="0"/>
        <v>7195785.5599999996</v>
      </c>
      <c r="L4" s="104">
        <f t="shared" si="0"/>
        <v>3701387.6</v>
      </c>
      <c r="M4" s="105">
        <f t="shared" ref="M4:M14" si="1">B4+C4+D4+E4+F4+G4+H4+I4+J4+K4+L4</f>
        <v>44020330.960000008</v>
      </c>
      <c r="O4" s="45"/>
      <c r="P4" s="45"/>
      <c r="Q4" s="45"/>
      <c r="R4" s="45"/>
    </row>
    <row r="5" spans="1:18" ht="75" x14ac:dyDescent="0.25">
      <c r="A5" s="106" t="s">
        <v>133</v>
      </c>
      <c r="B5" s="107">
        <f>SUM(B6:B14)</f>
        <v>6162631.6000000006</v>
      </c>
      <c r="C5" s="107">
        <f t="shared" ref="C5:M5" si="2">SUM(C6:C14)</f>
        <v>2016459.15</v>
      </c>
      <c r="D5" s="107">
        <f t="shared" si="2"/>
        <v>2124571.23</v>
      </c>
      <c r="E5" s="107">
        <f t="shared" si="2"/>
        <v>1610867.25</v>
      </c>
      <c r="F5" s="107">
        <f t="shared" si="2"/>
        <v>1685694.14</v>
      </c>
      <c r="G5" s="107">
        <f t="shared" si="2"/>
        <v>1417310.3099999998</v>
      </c>
      <c r="H5" s="107">
        <f t="shared" si="2"/>
        <v>2387286.79</v>
      </c>
      <c r="I5" s="107">
        <f t="shared" si="2"/>
        <v>1317855.69</v>
      </c>
      <c r="J5" s="107">
        <f t="shared" si="2"/>
        <v>1203887.78</v>
      </c>
      <c r="K5" s="107">
        <f t="shared" si="2"/>
        <v>1267447.02</v>
      </c>
      <c r="L5" s="107">
        <f t="shared" si="2"/>
        <v>551099.1</v>
      </c>
      <c r="M5" s="107">
        <f t="shared" si="2"/>
        <v>21745110.059999999</v>
      </c>
    </row>
    <row r="6" spans="1:18" s="94" customFormat="1" ht="30" x14ac:dyDescent="0.25">
      <c r="A6" s="110" t="s">
        <v>52</v>
      </c>
      <c r="B6" s="111">
        <f>598684.07+781452.06+858377.83</f>
        <v>2238513.96</v>
      </c>
      <c r="C6" s="111">
        <f>238999.47+318232.98+343807.63</f>
        <v>901040.08</v>
      </c>
      <c r="D6" s="111">
        <f>182755.39+242177.38+242669.21</f>
        <v>667601.98</v>
      </c>
      <c r="E6" s="111">
        <f>138605.07+184810.95+185189.27</f>
        <v>508605.29000000004</v>
      </c>
      <c r="F6" s="111">
        <f>196198.48+238179.76+250828.38</f>
        <v>685206.62</v>
      </c>
      <c r="G6" s="111">
        <f>167155.86+202592.15+219894.13</f>
        <v>589642.14</v>
      </c>
      <c r="H6" s="111">
        <f>249617.74+319771.49+353316.17</f>
        <v>922705.39999999991</v>
      </c>
      <c r="I6" s="111">
        <v>0</v>
      </c>
      <c r="J6" s="111">
        <f>153115.06+270667.46+236459.26</f>
        <v>660241.78</v>
      </c>
      <c r="K6" s="111">
        <v>0</v>
      </c>
      <c r="L6" s="111">
        <v>0</v>
      </c>
      <c r="M6" s="112">
        <f t="shared" si="1"/>
        <v>7173557.2500000009</v>
      </c>
    </row>
    <row r="7" spans="1:18" s="94" customFormat="1" ht="30" x14ac:dyDescent="0.25">
      <c r="A7" s="110" t="s">
        <v>53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>
        <f t="shared" si="1"/>
        <v>0</v>
      </c>
    </row>
    <row r="8" spans="1:18" s="94" customFormat="1" ht="30" x14ac:dyDescent="0.25">
      <c r="A8" s="110" t="s">
        <v>54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>
        <f t="shared" si="1"/>
        <v>0</v>
      </c>
    </row>
    <row r="9" spans="1:18" s="94" customFormat="1" x14ac:dyDescent="0.25">
      <c r="A9" s="110" t="s">
        <v>55</v>
      </c>
      <c r="B9" s="111"/>
      <c r="C9" s="111"/>
      <c r="D9" s="111">
        <f>65119.87+62187.96+64260.89</f>
        <v>191568.72</v>
      </c>
      <c r="E9" s="111">
        <f>50127.26+50204.4+51877.64</f>
        <v>152209.29999999999</v>
      </c>
      <c r="F9" s="111"/>
      <c r="G9" s="111"/>
      <c r="H9" s="111"/>
      <c r="I9" s="111"/>
      <c r="J9" s="111">
        <f>50619.57+69094.23+49070.01+47039.91+97526.64</f>
        <v>313350.36</v>
      </c>
      <c r="K9" s="111"/>
      <c r="L9" s="111"/>
      <c r="M9" s="112">
        <f t="shared" si="1"/>
        <v>657128.38</v>
      </c>
    </row>
    <row r="10" spans="1:18" s="94" customFormat="1" x14ac:dyDescent="0.25">
      <c r="A10" s="110" t="s">
        <v>56</v>
      </c>
      <c r="B10" s="111">
        <f>228242.28+327299.28+348306.84</f>
        <v>903848.40000000014</v>
      </c>
      <c r="C10" s="111">
        <f>103168.8+143913+151987.08</f>
        <v>399068.88</v>
      </c>
      <c r="D10" s="111">
        <f>78572.76+111541.92+115803.24</f>
        <v>305917.92</v>
      </c>
      <c r="E10" s="111">
        <f>64742.16+91805.28+95319</f>
        <v>251866.44</v>
      </c>
      <c r="F10" s="111">
        <f>84329.28+130381.44+144735.36</f>
        <v>359446.07999999996</v>
      </c>
      <c r="G10" s="111">
        <f>69078.24+106832.04+118644.12</f>
        <v>294554.40000000002</v>
      </c>
      <c r="H10" s="111">
        <f>148099.56+207608.52+224579.04</f>
        <v>580287.12</v>
      </c>
      <c r="I10" s="111">
        <f>123054.96+175536.48+182937.72</f>
        <v>481529.16000000003</v>
      </c>
      <c r="J10" s="111">
        <f>9285.43+23128.6</f>
        <v>32414.03</v>
      </c>
      <c r="K10" s="111">
        <f>188259.89+191852.64</f>
        <v>380112.53</v>
      </c>
      <c r="L10" s="111">
        <f>84619.74+83858.92</f>
        <v>168478.66</v>
      </c>
      <c r="M10" s="112">
        <f t="shared" si="1"/>
        <v>4157523.62</v>
      </c>
      <c r="N10" s="113"/>
    </row>
    <row r="11" spans="1:18" s="94" customFormat="1" x14ac:dyDescent="0.25">
      <c r="A11" s="110" t="s">
        <v>57</v>
      </c>
      <c r="B11" s="111">
        <f>135711.76+276072.01+184309.61+264299.86+145552.07</f>
        <v>1005945.31</v>
      </c>
      <c r="C11" s="111">
        <f>107458.6+139213.22+83310.6+116212.25+15273.61</f>
        <v>461468.28</v>
      </c>
      <c r="D11" s="111">
        <f>66163.31+180144.08+131968.82+159074.95+160045.3</f>
        <v>697396.46</v>
      </c>
      <c r="E11" s="111">
        <f>106070.09+148329.09+108666+131002.9+28615.38</f>
        <v>522683.45999999996</v>
      </c>
      <c r="F11" s="111">
        <f>84578.37+135349.54+68097.36+105285.28+32297.95</f>
        <v>425608.50000000006</v>
      </c>
      <c r="G11" s="111">
        <f>69666.98+110960.06+55781.88+86268.73+26140.21</f>
        <v>348817.86</v>
      </c>
      <c r="H11" s="111">
        <f>137221.01+210087.6+119532.6+167647.49+44070.1</f>
        <v>678558.79999999993</v>
      </c>
      <c r="I11" s="111">
        <f>123215.17+178031.13+99369.02+141748.76+24510.22</f>
        <v>566874.30000000005</v>
      </c>
      <c r="J11" s="111">
        <f>9367.13+23213.02</f>
        <v>32580.15</v>
      </c>
      <c r="K11" s="111">
        <v>382128.76</v>
      </c>
      <c r="L11" s="111">
        <v>169372.31</v>
      </c>
      <c r="M11" s="112">
        <f t="shared" si="1"/>
        <v>5291434.1899999995</v>
      </c>
      <c r="N11" s="114"/>
    </row>
    <row r="12" spans="1:18" s="94" customFormat="1" x14ac:dyDescent="0.25">
      <c r="A12" s="110" t="s">
        <v>58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>
        <f t="shared" si="1"/>
        <v>0</v>
      </c>
    </row>
    <row r="13" spans="1:18" s="94" customFormat="1" ht="30" x14ac:dyDescent="0.25">
      <c r="A13" s="110" t="s">
        <v>59</v>
      </c>
      <c r="B13" s="111">
        <f>401940.63+46683.12+653121.53+222508.65+39449.52+650620.48</f>
        <v>2014323.93</v>
      </c>
      <c r="C13" s="111">
        <f>144173.03+16744.2+79814.28+14150.4</f>
        <v>254881.91</v>
      </c>
      <c r="D13" s="111">
        <f>109887.96+17563.92+115181.43+19452.84</f>
        <v>262086.15</v>
      </c>
      <c r="E13" s="111">
        <f>69519.45+12248.28+79614.99+14120.04</f>
        <v>175502.76</v>
      </c>
      <c r="F13" s="111">
        <f>84414.33+14836.8+98118.93+18062.88</f>
        <v>215432.94</v>
      </c>
      <c r="G13" s="111">
        <f>70859.88+12838.32+85260.63+15337.08</f>
        <v>184295.91</v>
      </c>
      <c r="H13" s="111">
        <f>83385.12+14900.16+90797.07+16653.12</f>
        <v>205735.47</v>
      </c>
      <c r="I13" s="111">
        <f>108632.16+19723.44+119014.35+22082.28</f>
        <v>269452.23</v>
      </c>
      <c r="J13" s="111">
        <v>165301.46</v>
      </c>
      <c r="K13" s="111">
        <f>219109.8+36310.56+214908.33+34877.04</f>
        <v>505205.72999999992</v>
      </c>
      <c r="L13" s="111">
        <f>91498.68+15793.8+90387.57+15568.08</f>
        <v>213248.12999999998</v>
      </c>
      <c r="M13" s="112">
        <f t="shared" si="1"/>
        <v>4465466.62</v>
      </c>
    </row>
    <row r="14" spans="1:18" ht="30" x14ac:dyDescent="0.25">
      <c r="A14" s="108" t="s">
        <v>60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7">
        <f t="shared" si="1"/>
        <v>0</v>
      </c>
    </row>
    <row r="15" spans="1:18" hidden="1" x14ac:dyDescent="0.25">
      <c r="M15" s="93">
        <f>M6+M7+M8+M9+M10+M11+M12+M13+M14</f>
        <v>21745110.059999999</v>
      </c>
    </row>
    <row r="16" spans="1:18" x14ac:dyDescent="0.25">
      <c r="G16" s="94"/>
    </row>
    <row r="17" spans="1:13" hidden="1" x14ac:dyDescent="0.25">
      <c r="B17">
        <v>31924</v>
      </c>
      <c r="C17">
        <v>11447.9</v>
      </c>
      <c r="D17">
        <v>9677.2999999999993</v>
      </c>
      <c r="E17">
        <v>7967.5</v>
      </c>
      <c r="F17">
        <v>9122.9</v>
      </c>
      <c r="G17" s="94">
        <v>7477.5</v>
      </c>
      <c r="H17">
        <v>11547.3</v>
      </c>
      <c r="I17">
        <v>10987.5</v>
      </c>
      <c r="J17">
        <v>8820.6</v>
      </c>
      <c r="K17">
        <v>18893.900000000001</v>
      </c>
      <c r="L17">
        <v>9163.5</v>
      </c>
      <c r="M17" s="9">
        <f>SUM(B17:L17)</f>
        <v>137029.9</v>
      </c>
    </row>
    <row r="18" spans="1:13" hidden="1" x14ac:dyDescent="0.25">
      <c r="B18">
        <f>B17*M18/M17</f>
        <v>23.297105230318348</v>
      </c>
      <c r="C18">
        <f>C17*M18/M17</f>
        <v>8.35430807436917</v>
      </c>
      <c r="D18">
        <f>D17*M18/M17</f>
        <v>7.062181319551426</v>
      </c>
      <c r="E18">
        <f>E17*M18/M17</f>
        <v>5.8144244431324843</v>
      </c>
      <c r="F18">
        <f>F17*M18/M17</f>
        <v>6.6575980862570869</v>
      </c>
      <c r="G18" s="94">
        <f>G17*M18/M17</f>
        <v>5.4568382520895078</v>
      </c>
      <c r="H18">
        <f>H17*M18/M17</f>
        <v>8.4268469874093181</v>
      </c>
      <c r="I18">
        <f>I17*M18/M17</f>
        <v>8.0183230083361376</v>
      </c>
      <c r="J18">
        <f>J17*M18/M17</f>
        <v>6.436989299415675</v>
      </c>
      <c r="K18">
        <f>K17*M18/M17</f>
        <v>13.788158642748774</v>
      </c>
      <c r="L18">
        <f>L17*M18/M17</f>
        <v>6.6872266563720766</v>
      </c>
      <c r="M18" s="9">
        <v>100</v>
      </c>
    </row>
    <row r="19" spans="1:13" hidden="1" x14ac:dyDescent="0.25">
      <c r="B19">
        <v>0.23300000000000001</v>
      </c>
      <c r="C19">
        <v>8.4000000000000005E-2</v>
      </c>
      <c r="D19">
        <v>7.0000000000000007E-2</v>
      </c>
      <c r="E19">
        <v>5.8000000000000003E-2</v>
      </c>
      <c r="F19">
        <v>6.7000000000000004E-2</v>
      </c>
      <c r="G19" s="94">
        <v>5.5E-2</v>
      </c>
      <c r="H19">
        <v>8.4000000000000005E-2</v>
      </c>
      <c r="I19">
        <v>0.08</v>
      </c>
      <c r="J19">
        <v>6.4000000000000001E-2</v>
      </c>
      <c r="K19">
        <v>0.13800000000000001</v>
      </c>
      <c r="L19">
        <v>6.7000000000000004E-2</v>
      </c>
    </row>
    <row r="20" spans="1:13" hidden="1" x14ac:dyDescent="0.25">
      <c r="A20" s="89" t="s">
        <v>116</v>
      </c>
      <c r="B20" s="90"/>
      <c r="C20" s="91">
        <v>56507.35</v>
      </c>
      <c r="D20" s="91">
        <v>389698.16</v>
      </c>
      <c r="E20" s="91">
        <v>398184.99</v>
      </c>
      <c r="F20" s="91">
        <f>J10+J11</f>
        <v>64994.18</v>
      </c>
      <c r="G20" s="95">
        <v>64994.18</v>
      </c>
      <c r="H20" t="s">
        <v>124</v>
      </c>
    </row>
    <row r="21" spans="1:13" hidden="1" x14ac:dyDescent="0.25">
      <c r="A21" s="89" t="s">
        <v>117</v>
      </c>
      <c r="B21" s="90"/>
      <c r="C21" s="90"/>
      <c r="D21" s="90"/>
      <c r="E21" s="91">
        <v>973592.14</v>
      </c>
      <c r="F21" s="91">
        <f>J6+J9</f>
        <v>973592.14</v>
      </c>
      <c r="G21" s="95">
        <v>973592.14</v>
      </c>
      <c r="H21" t="s">
        <v>124</v>
      </c>
      <c r="I21" s="37"/>
    </row>
    <row r="22" spans="1:13" hidden="1" x14ac:dyDescent="0.25">
      <c r="A22" s="89" t="s">
        <v>118</v>
      </c>
      <c r="B22" s="90"/>
      <c r="C22" s="91">
        <v>428843.85</v>
      </c>
      <c r="D22" s="91">
        <v>5231459.9800000004</v>
      </c>
      <c r="E22" s="91">
        <v>5902708.3899999997</v>
      </c>
      <c r="F22" s="90"/>
      <c r="G22" s="95">
        <v>1100092.26</v>
      </c>
      <c r="H22" t="s">
        <v>124</v>
      </c>
    </row>
    <row r="23" spans="1:13" hidden="1" x14ac:dyDescent="0.25">
      <c r="A23" s="89" t="s">
        <v>119</v>
      </c>
      <c r="B23" s="90"/>
      <c r="C23" s="91">
        <v>6980056.0199999996</v>
      </c>
      <c r="D23" s="91">
        <v>25156167.899999999</v>
      </c>
      <c r="E23" s="91">
        <v>26459983.25</v>
      </c>
      <c r="F23" s="90"/>
      <c r="G23" s="95">
        <v>8283871.3700000001</v>
      </c>
      <c r="H23" t="s">
        <v>124</v>
      </c>
      <c r="I23" s="37"/>
      <c r="K23" s="37"/>
    </row>
    <row r="24" spans="1:13" hidden="1" x14ac:dyDescent="0.25">
      <c r="A24" s="89" t="s">
        <v>120</v>
      </c>
      <c r="B24" s="90"/>
      <c r="C24" s="91">
        <v>2419679.92</v>
      </c>
      <c r="D24" s="91">
        <v>15036772.789999999</v>
      </c>
      <c r="E24" s="91">
        <v>17082559.489999998</v>
      </c>
      <c r="F24" s="90"/>
      <c r="G24" s="95">
        <v>4465466.62</v>
      </c>
      <c r="H24" t="s">
        <v>123</v>
      </c>
    </row>
    <row r="25" spans="1:13" hidden="1" x14ac:dyDescent="0.25">
      <c r="A25" s="89" t="s">
        <v>121</v>
      </c>
      <c r="B25" s="90"/>
      <c r="C25" s="91">
        <v>3077808.57</v>
      </c>
      <c r="D25" s="91">
        <v>10693597.99</v>
      </c>
      <c r="E25" s="91">
        <v>14472882.91</v>
      </c>
      <c r="F25" s="91"/>
      <c r="G25" s="95">
        <v>6857093.4900000002</v>
      </c>
      <c r="H25" t="s">
        <v>124</v>
      </c>
    </row>
    <row r="26" spans="1:13" hidden="1" x14ac:dyDescent="0.25">
      <c r="G26" s="53">
        <f>G20+G21+G22+G23+G24+G25</f>
        <v>21745110.060000002</v>
      </c>
    </row>
    <row r="27" spans="1:13" hidden="1" x14ac:dyDescent="0.25">
      <c r="G27" s="92">
        <f>G26-M5</f>
        <v>0</v>
      </c>
      <c r="H27" t="s">
        <v>122</v>
      </c>
    </row>
  </sheetData>
  <mergeCells count="2">
    <mergeCell ref="B1:E1"/>
    <mergeCell ref="N10:N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85" zoomScaleNormal="85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E92" sqref="E92"/>
    </sheetView>
  </sheetViews>
  <sheetFormatPr defaultRowHeight="15" outlineLevelRow="1" x14ac:dyDescent="0.25"/>
  <cols>
    <col min="1" max="1" width="66.28515625" style="14" customWidth="1"/>
    <col min="2" max="5" width="13.5703125" customWidth="1"/>
    <col min="6" max="9" width="13.5703125" style="3" customWidth="1"/>
    <col min="10" max="10" width="14.85546875" style="3" customWidth="1"/>
    <col min="11" max="11" width="13.5703125" style="3" customWidth="1"/>
    <col min="12" max="12" width="12.7109375" style="19" customWidth="1"/>
    <col min="13" max="13" width="13.5703125" style="55" customWidth="1"/>
    <col min="14" max="14" width="8.85546875" style="18" hidden="1" customWidth="1"/>
    <col min="15" max="15" width="12.28515625" customWidth="1"/>
  </cols>
  <sheetData>
    <row r="1" spans="1:15" x14ac:dyDescent="0.25">
      <c r="A1" s="8" t="s">
        <v>62</v>
      </c>
    </row>
    <row r="2" spans="1:15" ht="60" x14ac:dyDescent="0.25">
      <c r="A2" s="13" t="s">
        <v>40</v>
      </c>
      <c r="B2" s="59" t="s">
        <v>92</v>
      </c>
      <c r="C2" s="59" t="s">
        <v>93</v>
      </c>
      <c r="D2" s="59" t="s">
        <v>94</v>
      </c>
      <c r="E2" s="59" t="s">
        <v>95</v>
      </c>
      <c r="F2" s="59" t="s">
        <v>96</v>
      </c>
      <c r="G2" s="59" t="s">
        <v>97</v>
      </c>
      <c r="H2" s="59" t="s">
        <v>98</v>
      </c>
      <c r="I2" s="59" t="s">
        <v>99</v>
      </c>
      <c r="J2" s="59" t="s">
        <v>100</v>
      </c>
      <c r="K2" s="59" t="s">
        <v>101</v>
      </c>
      <c r="L2" s="59" t="s">
        <v>102</v>
      </c>
      <c r="M2" s="56" t="s">
        <v>70</v>
      </c>
    </row>
    <row r="3" spans="1:15" ht="6.6" customHeight="1" x14ac:dyDescent="0.25"/>
    <row r="4" spans="1:15" s="12" customFormat="1" x14ac:dyDescent="0.25">
      <c r="A4" s="15" t="s">
        <v>41</v>
      </c>
      <c r="B4" s="62"/>
      <c r="C4" s="63"/>
      <c r="D4" s="62"/>
      <c r="E4" s="62"/>
      <c r="F4" s="62"/>
      <c r="G4" s="62"/>
      <c r="H4" s="62"/>
      <c r="I4" s="62"/>
      <c r="J4" s="62"/>
      <c r="K4" s="62"/>
      <c r="L4" s="62"/>
      <c r="M4" s="64"/>
      <c r="N4" s="52"/>
    </row>
    <row r="5" spans="1:15" s="12" customFormat="1" x14ac:dyDescent="0.25">
      <c r="A5" s="23" t="s">
        <v>69</v>
      </c>
      <c r="B5" s="65">
        <v>4564886.84</v>
      </c>
      <c r="C5" s="63">
        <v>767032.16</v>
      </c>
      <c r="D5" s="65">
        <v>1218073.77</v>
      </c>
      <c r="E5" s="65">
        <v>840575.33</v>
      </c>
      <c r="F5" s="63">
        <v>1108701.82</v>
      </c>
      <c r="G5" s="63">
        <v>850971.73</v>
      </c>
      <c r="H5" s="63">
        <v>1281149.17</v>
      </c>
      <c r="I5" s="63">
        <v>1254902.94</v>
      </c>
      <c r="J5" s="63"/>
      <c r="K5" s="63">
        <v>2063915.12</v>
      </c>
      <c r="L5" s="63">
        <v>1038455.18</v>
      </c>
      <c r="M5" s="66">
        <f>SUM(B5:L5)</f>
        <v>14988664.059999999</v>
      </c>
      <c r="N5" s="19" t="s">
        <v>86</v>
      </c>
      <c r="O5" s="54"/>
    </row>
    <row r="6" spans="1:15" s="12" customFormat="1" x14ac:dyDescent="0.25">
      <c r="A6" s="15"/>
      <c r="B6" s="62"/>
      <c r="C6" s="63"/>
      <c r="D6" s="62"/>
      <c r="E6" s="62"/>
      <c r="F6" s="67"/>
      <c r="G6" s="67"/>
      <c r="H6" s="67"/>
      <c r="I6" s="67"/>
      <c r="J6" s="67"/>
      <c r="K6" s="67"/>
      <c r="L6" s="67"/>
      <c r="M6" s="68"/>
      <c r="N6" s="20"/>
    </row>
    <row r="7" spans="1:15" x14ac:dyDescent="0.25">
      <c r="A7" s="16" t="s">
        <v>65</v>
      </c>
      <c r="B7" s="69">
        <v>1860644.91</v>
      </c>
      <c r="C7" s="70">
        <v>332454.74</v>
      </c>
      <c r="D7" s="69">
        <v>534048.86</v>
      </c>
      <c r="E7" s="69">
        <v>366091.85</v>
      </c>
      <c r="F7" s="70">
        <v>480915.37</v>
      </c>
      <c r="G7" s="70">
        <v>373737.77</v>
      </c>
      <c r="H7" s="70">
        <v>563593.04</v>
      </c>
      <c r="I7" s="70">
        <v>550989.47</v>
      </c>
      <c r="J7" s="70"/>
      <c r="K7" s="70">
        <v>905061.65</v>
      </c>
      <c r="L7" s="71">
        <v>453650.43</v>
      </c>
      <c r="M7" s="66">
        <f t="shared" ref="M7" si="0">SUM(B7:L7)</f>
        <v>6421188.0899999999</v>
      </c>
      <c r="N7" s="19"/>
    </row>
    <row r="8" spans="1:15" x14ac:dyDescent="0.25">
      <c r="A8" s="16"/>
      <c r="B8" s="72"/>
      <c r="C8" s="71"/>
      <c r="D8" s="73"/>
      <c r="E8" s="73"/>
      <c r="F8" s="74"/>
      <c r="G8" s="74"/>
      <c r="H8" s="74"/>
      <c r="I8" s="74"/>
      <c r="J8" s="71"/>
      <c r="K8" s="71"/>
      <c r="L8" s="71"/>
      <c r="M8" s="68"/>
      <c r="N8" s="19"/>
    </row>
    <row r="9" spans="1:15" x14ac:dyDescent="0.25">
      <c r="A9" s="16" t="s">
        <v>34</v>
      </c>
      <c r="B9" s="75">
        <v>3412556.56</v>
      </c>
      <c r="C9" s="71">
        <v>643811.43000000005</v>
      </c>
      <c r="D9" s="72">
        <v>1128581.55</v>
      </c>
      <c r="E9" s="72">
        <v>816895.5</v>
      </c>
      <c r="F9" s="71">
        <v>1069903.67</v>
      </c>
      <c r="G9" s="71">
        <v>795841.7</v>
      </c>
      <c r="H9" s="71">
        <v>1181919.19</v>
      </c>
      <c r="I9" s="71">
        <v>1196089.92</v>
      </c>
      <c r="J9" s="71"/>
      <c r="K9" s="71">
        <v>1729756.49</v>
      </c>
      <c r="L9" s="71">
        <v>875556.66</v>
      </c>
      <c r="M9" s="66">
        <f t="shared" ref="M9" si="1">SUM(B9:L9)</f>
        <v>12850912.67</v>
      </c>
      <c r="N9" s="19" t="s">
        <v>88</v>
      </c>
    </row>
    <row r="10" spans="1:15" x14ac:dyDescent="0.25">
      <c r="A10" s="16"/>
      <c r="B10" s="72"/>
      <c r="C10" s="71"/>
      <c r="D10" s="72"/>
      <c r="E10" s="72"/>
      <c r="F10" s="71"/>
      <c r="G10" s="71"/>
      <c r="H10" s="71"/>
      <c r="I10" s="71"/>
      <c r="J10" s="71"/>
      <c r="K10" s="71"/>
      <c r="L10" s="71"/>
      <c r="M10" s="68"/>
      <c r="N10" s="19"/>
    </row>
    <row r="11" spans="1:15" x14ac:dyDescent="0.25">
      <c r="A11" s="16" t="s">
        <v>35</v>
      </c>
      <c r="B11" s="76">
        <v>2145260.1</v>
      </c>
      <c r="C11" s="77">
        <v>241328.58</v>
      </c>
      <c r="D11" s="77">
        <v>317743.75</v>
      </c>
      <c r="E11" s="77">
        <v>136611.95000000001</v>
      </c>
      <c r="F11" s="77">
        <v>194910.49</v>
      </c>
      <c r="G11" s="77">
        <v>226208.45</v>
      </c>
      <c r="H11" s="77">
        <v>251685.19</v>
      </c>
      <c r="I11" s="77">
        <v>202996.35</v>
      </c>
      <c r="J11" s="77"/>
      <c r="K11" s="77">
        <v>567894.43999999994</v>
      </c>
      <c r="L11" s="77">
        <v>301641.11</v>
      </c>
      <c r="M11" s="78">
        <f t="shared" ref="M11" si="2">SUM(B11:L11)</f>
        <v>4586280.4100000011</v>
      </c>
      <c r="N11" s="21" t="s">
        <v>88</v>
      </c>
      <c r="O11" s="37"/>
    </row>
    <row r="12" spans="1:15" x14ac:dyDescent="0.25">
      <c r="A12" s="16"/>
      <c r="B12" s="76"/>
      <c r="C12" s="77"/>
      <c r="D12" s="76"/>
      <c r="E12" s="76"/>
      <c r="F12" s="77"/>
      <c r="G12" s="77"/>
      <c r="H12" s="77"/>
      <c r="I12" s="77"/>
      <c r="J12" s="77"/>
      <c r="K12" s="77"/>
      <c r="L12" s="77"/>
      <c r="M12" s="79"/>
      <c r="N12" s="21"/>
      <c r="O12" s="37"/>
    </row>
    <row r="13" spans="1:15" s="94" customFormat="1" x14ac:dyDescent="0.25">
      <c r="A13" s="115" t="s">
        <v>36</v>
      </c>
      <c r="B13" s="83">
        <v>9613183.4199999999</v>
      </c>
      <c r="C13" s="83">
        <v>1053853.44</v>
      </c>
      <c r="D13" s="83">
        <v>1484758</v>
      </c>
      <c r="E13" s="83">
        <v>965489.71</v>
      </c>
      <c r="F13" s="83">
        <v>1126503.8799999999</v>
      </c>
      <c r="G13" s="83">
        <v>984688.74</v>
      </c>
      <c r="H13" s="83">
        <v>1056676.3700000001</v>
      </c>
      <c r="I13" s="83">
        <v>1327451.1299999999</v>
      </c>
      <c r="J13" s="83">
        <v>391031.77</v>
      </c>
      <c r="K13" s="83">
        <v>2563360.0699999998</v>
      </c>
      <c r="L13" s="83">
        <v>1084418.05</v>
      </c>
      <c r="M13" s="78">
        <f t="shared" ref="M13:M17" si="3">SUM(B13:L13)</f>
        <v>21651414.579999998</v>
      </c>
      <c r="N13" s="116" t="s">
        <v>86</v>
      </c>
      <c r="O13" s="86"/>
    </row>
    <row r="14" spans="1:15" s="94" customFormat="1" x14ac:dyDescent="0.25">
      <c r="A14" s="115"/>
      <c r="B14" s="83"/>
      <c r="C14" s="84"/>
      <c r="D14" s="83"/>
      <c r="E14" s="83"/>
      <c r="F14" s="84"/>
      <c r="G14" s="84"/>
      <c r="H14" s="84"/>
      <c r="I14" s="84"/>
      <c r="J14" s="84"/>
      <c r="K14" s="84"/>
      <c r="L14" s="84"/>
      <c r="M14" s="78"/>
      <c r="N14" s="116"/>
      <c r="O14" s="86"/>
    </row>
    <row r="15" spans="1:15" s="94" customFormat="1" x14ac:dyDescent="0.25">
      <c r="A15" s="115" t="s">
        <v>37</v>
      </c>
      <c r="B15" s="80">
        <f>B13-B17</f>
        <v>7598859.4900000002</v>
      </c>
      <c r="C15" s="80">
        <f t="shared" ref="C15:L15" si="4">C13-C17</f>
        <v>798971.52999999991</v>
      </c>
      <c r="D15" s="80">
        <f t="shared" si="4"/>
        <v>1222671.8500000001</v>
      </c>
      <c r="E15" s="80">
        <f t="shared" si="4"/>
        <v>789986.95</v>
      </c>
      <c r="F15" s="80">
        <f t="shared" si="4"/>
        <v>911070.94</v>
      </c>
      <c r="G15" s="80">
        <f t="shared" si="4"/>
        <v>800392.83</v>
      </c>
      <c r="H15" s="80">
        <f t="shared" si="4"/>
        <v>850940.90000000014</v>
      </c>
      <c r="I15" s="80">
        <f t="shared" si="4"/>
        <v>1057998.8999999999</v>
      </c>
      <c r="J15" s="80">
        <f t="shared" si="4"/>
        <v>225730.31000000003</v>
      </c>
      <c r="K15" s="80">
        <f t="shared" si="4"/>
        <v>2058154.3399999999</v>
      </c>
      <c r="L15" s="80">
        <f t="shared" si="4"/>
        <v>871169.92</v>
      </c>
      <c r="M15" s="78">
        <f t="shared" si="3"/>
        <v>17185947.960000001</v>
      </c>
      <c r="N15" s="116" t="s">
        <v>89</v>
      </c>
      <c r="O15" s="86"/>
    </row>
    <row r="16" spans="1:15" s="94" customFormat="1" x14ac:dyDescent="0.25">
      <c r="A16" s="115"/>
      <c r="B16" s="80"/>
      <c r="C16" s="81"/>
      <c r="D16" s="80"/>
      <c r="E16" s="80"/>
      <c r="F16" s="81"/>
      <c r="G16" s="81"/>
      <c r="H16" s="81"/>
      <c r="I16" s="81"/>
      <c r="J16" s="81"/>
      <c r="K16" s="81"/>
      <c r="L16" s="81"/>
      <c r="M16" s="82"/>
      <c r="N16" s="116"/>
      <c r="O16" s="86"/>
    </row>
    <row r="17" spans="1:15" s="94" customFormat="1" x14ac:dyDescent="0.25">
      <c r="A17" s="115" t="s">
        <v>115</v>
      </c>
      <c r="B17" s="80">
        <f>'Данные по УК'!B13</f>
        <v>2014323.93</v>
      </c>
      <c r="C17" s="80">
        <f>'Данные по УК'!C13</f>
        <v>254881.91</v>
      </c>
      <c r="D17" s="80">
        <f>'Данные по УК'!D13</f>
        <v>262086.15</v>
      </c>
      <c r="E17" s="80">
        <f>'Данные по УК'!E13</f>
        <v>175502.76</v>
      </c>
      <c r="F17" s="80">
        <f>'Данные по УК'!F13</f>
        <v>215432.94</v>
      </c>
      <c r="G17" s="80">
        <f>'Данные по УК'!G13</f>
        <v>184295.91</v>
      </c>
      <c r="H17" s="80">
        <f>'Данные по УК'!H13</f>
        <v>205735.47</v>
      </c>
      <c r="I17" s="80">
        <f>'Данные по УК'!I13</f>
        <v>269452.23</v>
      </c>
      <c r="J17" s="80">
        <f>'Данные по УК'!J13</f>
        <v>165301.46</v>
      </c>
      <c r="K17" s="80">
        <f>'Данные по УК'!K13</f>
        <v>505205.72999999992</v>
      </c>
      <c r="L17" s="80">
        <f>'Данные по УК'!L13</f>
        <v>213248.12999999998</v>
      </c>
      <c r="M17" s="78">
        <f t="shared" si="3"/>
        <v>4465466.62</v>
      </c>
      <c r="N17" s="116" t="s">
        <v>89</v>
      </c>
      <c r="O17" s="86"/>
    </row>
    <row r="18" spans="1:15" s="94" customFormat="1" x14ac:dyDescent="0.25">
      <c r="A18" s="115"/>
      <c r="B18" s="83"/>
      <c r="C18" s="84"/>
      <c r="D18" s="83"/>
      <c r="E18" s="83"/>
      <c r="F18" s="84"/>
      <c r="G18" s="84"/>
      <c r="H18" s="84"/>
      <c r="I18" s="84"/>
      <c r="J18" s="84"/>
      <c r="K18" s="84"/>
      <c r="L18" s="84"/>
      <c r="M18" s="78"/>
      <c r="N18" s="117"/>
      <c r="O18" s="86"/>
    </row>
    <row r="19" spans="1:15" s="94" customFormat="1" x14ac:dyDescent="0.25">
      <c r="A19" s="115" t="s">
        <v>39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78">
        <f t="shared" ref="M19" si="5">SUM(B19:L19)</f>
        <v>0</v>
      </c>
      <c r="N19" s="117"/>
      <c r="O19" s="86"/>
    </row>
    <row r="20" spans="1:15" s="94" customFormat="1" x14ac:dyDescent="0.25">
      <c r="A20" s="115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78"/>
      <c r="N20" s="117"/>
      <c r="O20" s="86"/>
    </row>
    <row r="21" spans="1:15" s="121" customFormat="1" x14ac:dyDescent="0.25">
      <c r="A21" s="118" t="s">
        <v>42</v>
      </c>
      <c r="B21" s="79"/>
      <c r="C21" s="81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119"/>
      <c r="O21" s="120"/>
    </row>
    <row r="22" spans="1:15" s="121" customFormat="1" x14ac:dyDescent="0.25">
      <c r="A22" s="122" t="s">
        <v>69</v>
      </c>
      <c r="B22" s="80">
        <v>1752917.99</v>
      </c>
      <c r="C22" s="81">
        <v>616518.63</v>
      </c>
      <c r="D22" s="80">
        <v>1078543.6399999999</v>
      </c>
      <c r="E22" s="80">
        <v>753807.84</v>
      </c>
      <c r="F22" s="81">
        <v>878137.52</v>
      </c>
      <c r="G22" s="81">
        <v>730689.4</v>
      </c>
      <c r="H22" s="81">
        <v>1179521.52</v>
      </c>
      <c r="I22" s="81">
        <v>1093433.02</v>
      </c>
      <c r="J22" s="81"/>
      <c r="K22" s="81">
        <v>1159248.1299999999</v>
      </c>
      <c r="L22" s="81">
        <v>546636.9</v>
      </c>
      <c r="M22" s="78">
        <f>SUM(B22:L22)</f>
        <v>9789454.589999998</v>
      </c>
      <c r="N22" s="116" t="s">
        <v>86</v>
      </c>
      <c r="O22" s="120"/>
    </row>
    <row r="23" spans="1:15" s="121" customFormat="1" x14ac:dyDescent="0.25">
      <c r="A23" s="118"/>
      <c r="B23" s="123"/>
      <c r="C23" s="81"/>
      <c r="D23" s="123"/>
      <c r="E23" s="123"/>
      <c r="F23" s="79"/>
      <c r="G23" s="79"/>
      <c r="H23" s="79"/>
      <c r="I23" s="79"/>
      <c r="J23" s="79"/>
      <c r="K23" s="79"/>
      <c r="L23" s="79"/>
      <c r="M23" s="79"/>
      <c r="N23" s="57"/>
      <c r="O23" s="120"/>
    </row>
    <row r="24" spans="1:15" s="94" customFormat="1" x14ac:dyDescent="0.25">
      <c r="A24" s="115" t="s">
        <v>66</v>
      </c>
      <c r="B24" s="84">
        <v>23924.15</v>
      </c>
      <c r="C24" s="84">
        <v>8417.82</v>
      </c>
      <c r="D24" s="84">
        <v>14761.67</v>
      </c>
      <c r="E24" s="84">
        <v>10334.129999999999</v>
      </c>
      <c r="F24" s="84">
        <v>12024.1</v>
      </c>
      <c r="G24" s="84">
        <v>10077.6</v>
      </c>
      <c r="H24" s="84">
        <v>16169.22</v>
      </c>
      <c r="I24" s="84">
        <v>14989.85</v>
      </c>
      <c r="J24" s="84"/>
      <c r="K24" s="84">
        <v>28085.58</v>
      </c>
      <c r="L24" s="84">
        <v>132372.35999999999</v>
      </c>
      <c r="M24" s="78">
        <f t="shared" ref="M24" si="6">SUM(B24:L24)</f>
        <v>271156.47999999998</v>
      </c>
      <c r="N24" s="116"/>
      <c r="O24" s="86"/>
    </row>
    <row r="25" spans="1:15" s="94" customFormat="1" x14ac:dyDescent="0.25">
      <c r="A25" s="11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79"/>
      <c r="N25" s="116"/>
      <c r="O25" s="86"/>
    </row>
    <row r="26" spans="1:15" s="94" customFormat="1" x14ac:dyDescent="0.25">
      <c r="A26" s="115" t="s">
        <v>34</v>
      </c>
      <c r="B26" s="83">
        <v>1310422.8</v>
      </c>
      <c r="C26" s="84">
        <v>517477.31</v>
      </c>
      <c r="D26" s="84">
        <v>999302.74</v>
      </c>
      <c r="E26" s="84">
        <v>732572.33</v>
      </c>
      <c r="F26" s="84">
        <v>847407.78</v>
      </c>
      <c r="G26" s="84">
        <v>683351.83</v>
      </c>
      <c r="H26" s="84">
        <v>1088163</v>
      </c>
      <c r="I26" s="81">
        <v>1042187.54</v>
      </c>
      <c r="J26" s="84"/>
      <c r="K26" s="84">
        <v>971559.81</v>
      </c>
      <c r="L26" s="84">
        <v>460888.04</v>
      </c>
      <c r="M26" s="78">
        <f>SUM(B26:L26)</f>
        <v>8653333.1799999997</v>
      </c>
      <c r="N26" s="116" t="s">
        <v>88</v>
      </c>
      <c r="O26" s="86"/>
    </row>
    <row r="27" spans="1:15" s="94" customFormat="1" x14ac:dyDescent="0.25">
      <c r="A27" s="115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79"/>
      <c r="N27" s="116"/>
      <c r="O27" s="86"/>
    </row>
    <row r="28" spans="1:15" s="94" customFormat="1" x14ac:dyDescent="0.25">
      <c r="A28" s="115" t="s">
        <v>35</v>
      </c>
      <c r="B28" s="84">
        <v>823780.56</v>
      </c>
      <c r="C28" s="84">
        <v>193973.05</v>
      </c>
      <c r="D28" s="84">
        <v>281346.26</v>
      </c>
      <c r="E28" s="84">
        <v>122510.33</v>
      </c>
      <c r="F28" s="84">
        <v>154377.14000000001</v>
      </c>
      <c r="G28" s="84">
        <v>194234.56</v>
      </c>
      <c r="H28" s="84">
        <v>231720.16</v>
      </c>
      <c r="I28" s="84">
        <v>176876.56</v>
      </c>
      <c r="J28" s="84"/>
      <c r="K28" s="84">
        <v>318971.73</v>
      </c>
      <c r="L28" s="84">
        <v>158782.16</v>
      </c>
      <c r="M28" s="78">
        <f t="shared" ref="M28" si="7">SUM(B28:L28)</f>
        <v>2656572.5100000002</v>
      </c>
      <c r="N28" s="116" t="s">
        <v>88</v>
      </c>
      <c r="O28" s="86"/>
    </row>
    <row r="29" spans="1:15" s="94" customFormat="1" x14ac:dyDescent="0.25">
      <c r="A29" s="115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79"/>
      <c r="N29" s="116"/>
      <c r="O29" s="86"/>
    </row>
    <row r="30" spans="1:15" s="94" customFormat="1" x14ac:dyDescent="0.25">
      <c r="A30" s="115" t="s">
        <v>36</v>
      </c>
      <c r="B30" s="84">
        <v>3221308</v>
      </c>
      <c r="C30" s="84">
        <v>1454141.57</v>
      </c>
      <c r="D30" s="84">
        <v>1209162.1000000001</v>
      </c>
      <c r="E30" s="84">
        <v>992407.09</v>
      </c>
      <c r="F30" s="84">
        <v>1429079.57</v>
      </c>
      <c r="G30" s="84">
        <v>1171357.07</v>
      </c>
      <c r="H30" s="84">
        <v>2298244.34</v>
      </c>
      <c r="I30" s="84">
        <v>1985917.77</v>
      </c>
      <c r="J30" s="84">
        <v>198620.44</v>
      </c>
      <c r="K30" s="84">
        <v>2037797.59</v>
      </c>
      <c r="L30" s="84">
        <v>905590.65</v>
      </c>
      <c r="M30" s="78">
        <f t="shared" ref="M30" si="8">SUM(B30:L30)</f>
        <v>16903626.189999998</v>
      </c>
      <c r="N30" s="116" t="s">
        <v>86</v>
      </c>
      <c r="O30" s="86"/>
    </row>
    <row r="31" spans="1:15" s="94" customFormat="1" x14ac:dyDescent="0.25">
      <c r="A31" s="115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79"/>
      <c r="N31" s="116"/>
      <c r="O31" s="86"/>
    </row>
    <row r="32" spans="1:15" s="94" customFormat="1" x14ac:dyDescent="0.25">
      <c r="A32" s="115" t="s">
        <v>37</v>
      </c>
      <c r="B32" s="84">
        <f>B30-B34</f>
        <v>2317459.5999999996</v>
      </c>
      <c r="C32" s="84">
        <f t="shared" ref="C32:L32" si="9">C30-C34</f>
        <v>1055072.69</v>
      </c>
      <c r="D32" s="84">
        <f t="shared" si="9"/>
        <v>903244.18000000017</v>
      </c>
      <c r="E32" s="84">
        <f t="shared" si="9"/>
        <v>740540.64999999991</v>
      </c>
      <c r="F32" s="84">
        <f t="shared" si="9"/>
        <v>1069633.4900000002</v>
      </c>
      <c r="G32" s="84">
        <f t="shared" si="9"/>
        <v>876802.67</v>
      </c>
      <c r="H32" s="84">
        <f t="shared" si="9"/>
        <v>1717957.2199999997</v>
      </c>
      <c r="I32" s="84">
        <f t="shared" si="9"/>
        <v>1504388.6099999999</v>
      </c>
      <c r="J32" s="84">
        <f t="shared" si="9"/>
        <v>166206.41</v>
      </c>
      <c r="K32" s="84">
        <f t="shared" si="9"/>
        <v>1657685.06</v>
      </c>
      <c r="L32" s="84">
        <f t="shared" si="9"/>
        <v>737111.99</v>
      </c>
      <c r="M32" s="78">
        <f t="shared" ref="M32" si="10">SUM(B32:L32)</f>
        <v>12746102.57</v>
      </c>
      <c r="N32" s="116"/>
      <c r="O32" s="86"/>
    </row>
    <row r="33" spans="1:15" s="94" customFormat="1" x14ac:dyDescent="0.25">
      <c r="A33" s="115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79"/>
      <c r="N33" s="116"/>
      <c r="O33" s="86"/>
    </row>
    <row r="34" spans="1:15" s="94" customFormat="1" x14ac:dyDescent="0.25">
      <c r="A34" s="115" t="s">
        <v>38</v>
      </c>
      <c r="B34" s="84">
        <f>'Данные по УК'!B10</f>
        <v>903848.40000000014</v>
      </c>
      <c r="C34" s="84">
        <f>'Данные по УК'!C10</f>
        <v>399068.88</v>
      </c>
      <c r="D34" s="84">
        <f>'Данные по УК'!D10</f>
        <v>305917.92</v>
      </c>
      <c r="E34" s="84">
        <f>'Данные по УК'!E10</f>
        <v>251866.44</v>
      </c>
      <c r="F34" s="84">
        <f>'Данные по УК'!F10</f>
        <v>359446.07999999996</v>
      </c>
      <c r="G34" s="84">
        <f>'Данные по УК'!G10</f>
        <v>294554.40000000002</v>
      </c>
      <c r="H34" s="84">
        <f>'Данные по УК'!H10</f>
        <v>580287.12</v>
      </c>
      <c r="I34" s="84">
        <f>'Данные по УК'!I10</f>
        <v>481529.16000000003</v>
      </c>
      <c r="J34" s="84">
        <f>'Данные по УК'!J10</f>
        <v>32414.03</v>
      </c>
      <c r="K34" s="84">
        <f>'Данные по УК'!K10</f>
        <v>380112.53</v>
      </c>
      <c r="L34" s="84">
        <f>'Данные по УК'!L10</f>
        <v>168478.66</v>
      </c>
      <c r="M34" s="78">
        <f t="shared" ref="M34" si="11">SUM(B34:L34)</f>
        <v>4157523.62</v>
      </c>
      <c r="N34" s="116" t="s">
        <v>89</v>
      </c>
      <c r="O34" s="86"/>
    </row>
    <row r="35" spans="1:15" s="94" customFormat="1" x14ac:dyDescent="0.25">
      <c r="A35" s="115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79"/>
      <c r="N35" s="117"/>
      <c r="O35" s="86"/>
    </row>
    <row r="36" spans="1:15" s="94" customFormat="1" x14ac:dyDescent="0.25">
      <c r="A36" s="115" t="s">
        <v>39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78">
        <f t="shared" ref="M36" si="12">SUM(B36:L36)</f>
        <v>0</v>
      </c>
      <c r="N36" s="117"/>
      <c r="O36" s="86"/>
    </row>
    <row r="37" spans="1:15" s="94" customFormat="1" x14ac:dyDescent="0.25">
      <c r="A37" s="115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78"/>
      <c r="N37" s="117"/>
      <c r="O37" s="86"/>
    </row>
    <row r="38" spans="1:15" s="125" customFormat="1" x14ac:dyDescent="0.25">
      <c r="A38" s="118" t="s">
        <v>43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79"/>
      <c r="N38" s="117"/>
      <c r="O38" s="124"/>
    </row>
    <row r="39" spans="1:15" s="121" customFormat="1" x14ac:dyDescent="0.25">
      <c r="A39" s="122" t="s">
        <v>69</v>
      </c>
      <c r="B39" s="80">
        <v>4409365.49</v>
      </c>
      <c r="C39" s="81">
        <v>1559366.75</v>
      </c>
      <c r="D39" s="80">
        <v>1898756.96</v>
      </c>
      <c r="E39" s="80">
        <v>1432656.56</v>
      </c>
      <c r="F39" s="81">
        <v>1550163.09</v>
      </c>
      <c r="G39" s="81">
        <v>1408553.6</v>
      </c>
      <c r="H39" s="81">
        <v>2147631.5499999998</v>
      </c>
      <c r="I39" s="81">
        <v>2166509.27</v>
      </c>
      <c r="J39" s="81"/>
      <c r="K39" s="81">
        <v>2733573.14</v>
      </c>
      <c r="L39" s="81">
        <v>1416669.59</v>
      </c>
      <c r="M39" s="78">
        <f>SUM(B39:L39)</f>
        <v>20723246</v>
      </c>
      <c r="N39" s="116" t="s">
        <v>86</v>
      </c>
      <c r="O39" s="120"/>
    </row>
    <row r="40" spans="1:15" s="121" customFormat="1" x14ac:dyDescent="0.25">
      <c r="A40" s="118"/>
      <c r="B40" s="123"/>
      <c r="C40" s="81"/>
      <c r="D40" s="123"/>
      <c r="E40" s="123"/>
      <c r="F40" s="79"/>
      <c r="G40" s="79"/>
      <c r="H40" s="79"/>
      <c r="I40" s="79"/>
      <c r="J40" s="79"/>
      <c r="K40" s="79"/>
      <c r="L40" s="79"/>
      <c r="M40" s="79"/>
      <c r="N40" s="57"/>
      <c r="O40" s="120"/>
    </row>
    <row r="41" spans="1:15" s="94" customFormat="1" x14ac:dyDescent="0.25">
      <c r="A41" s="115" t="s">
        <v>67</v>
      </c>
      <c r="B41" s="84">
        <v>3583.93</v>
      </c>
      <c r="C41" s="84">
        <v>1266.8900000000001</v>
      </c>
      <c r="D41" s="84">
        <v>1546.57</v>
      </c>
      <c r="E41" s="84">
        <v>1166.8399999999999</v>
      </c>
      <c r="F41" s="84">
        <v>1263.19</v>
      </c>
      <c r="G41" s="84">
        <v>1148.4100000000001</v>
      </c>
      <c r="H41" s="84">
        <v>1750.31</v>
      </c>
      <c r="I41" s="84">
        <v>1765.55</v>
      </c>
      <c r="J41" s="84"/>
      <c r="K41" s="84">
        <v>734.05</v>
      </c>
      <c r="L41" s="84">
        <v>405.55</v>
      </c>
      <c r="M41" s="78">
        <f t="shared" ref="M41" si="13">SUM(B41:L41)</f>
        <v>14631.289999999997</v>
      </c>
      <c r="N41" s="116"/>
      <c r="O41" s="86"/>
    </row>
    <row r="42" spans="1:15" s="94" customFormat="1" x14ac:dyDescent="0.25">
      <c r="A42" s="115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79"/>
      <c r="N42" s="116"/>
      <c r="O42" s="86"/>
    </row>
    <row r="43" spans="1:15" s="94" customFormat="1" x14ac:dyDescent="0.25">
      <c r="A43" s="115" t="s">
        <v>34</v>
      </c>
      <c r="B43" s="84">
        <v>3296294.01</v>
      </c>
      <c r="C43" s="84">
        <v>1308860.55</v>
      </c>
      <c r="D43" s="84">
        <v>1759254.72</v>
      </c>
      <c r="E43" s="84">
        <v>1392297.22</v>
      </c>
      <c r="F43" s="84">
        <v>1495916.34</v>
      </c>
      <c r="G43" s="84">
        <v>1317300.73</v>
      </c>
      <c r="H43" s="84">
        <v>1981289.15</v>
      </c>
      <c r="I43" s="84">
        <v>2064972.36</v>
      </c>
      <c r="J43" s="84"/>
      <c r="K43" s="84">
        <v>2290993.39</v>
      </c>
      <c r="L43" s="84">
        <v>1194442.01</v>
      </c>
      <c r="M43" s="78">
        <f t="shared" ref="M43" si="14">SUM(B43:L43)</f>
        <v>18101620.48</v>
      </c>
      <c r="N43" s="116" t="s">
        <v>88</v>
      </c>
      <c r="O43" s="86"/>
    </row>
    <row r="44" spans="1:15" s="94" customFormat="1" x14ac:dyDescent="0.25">
      <c r="A44" s="115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79"/>
      <c r="N44" s="116"/>
      <c r="O44" s="86"/>
    </row>
    <row r="45" spans="1:15" s="94" customFormat="1" x14ac:dyDescent="0.25">
      <c r="A45" s="115" t="s">
        <v>35</v>
      </c>
      <c r="B45" s="84">
        <v>2072173.13</v>
      </c>
      <c r="C45" s="84">
        <v>490617.98</v>
      </c>
      <c r="D45" s="84">
        <v>495305.09</v>
      </c>
      <c r="E45" s="84">
        <v>232838.16</v>
      </c>
      <c r="F45" s="84">
        <v>272519.67</v>
      </c>
      <c r="G45" s="84">
        <v>374426.92</v>
      </c>
      <c r="H45" s="84">
        <v>421907.97</v>
      </c>
      <c r="I45" s="84">
        <v>350460.15</v>
      </c>
      <c r="J45" s="84"/>
      <c r="K45" s="84">
        <v>752153.51</v>
      </c>
      <c r="L45" s="84">
        <v>411501.42</v>
      </c>
      <c r="M45" s="78">
        <f t="shared" ref="M45" si="15">SUM(B45:L45)</f>
        <v>5873904</v>
      </c>
      <c r="N45" s="116" t="s">
        <v>88</v>
      </c>
      <c r="O45" s="86"/>
    </row>
    <row r="46" spans="1:15" s="94" customFormat="1" x14ac:dyDescent="0.25">
      <c r="A46" s="115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79"/>
      <c r="N46" s="116"/>
      <c r="O46" s="86"/>
    </row>
    <row r="47" spans="1:15" s="94" customFormat="1" x14ac:dyDescent="0.25">
      <c r="A47" s="115" t="s">
        <v>36</v>
      </c>
      <c r="B47" s="84">
        <v>5866642</v>
      </c>
      <c r="C47" s="84">
        <v>2143987.54</v>
      </c>
      <c r="D47" s="84">
        <v>1684458.34</v>
      </c>
      <c r="E47" s="84">
        <v>1239664.8500000001</v>
      </c>
      <c r="F47" s="84">
        <v>1705107.81</v>
      </c>
      <c r="G47" s="84">
        <v>1534670.64</v>
      </c>
      <c r="H47" s="84">
        <v>2330543.35</v>
      </c>
      <c r="I47" s="84">
        <v>2316637.42</v>
      </c>
      <c r="J47" s="84">
        <v>1466108.06</v>
      </c>
      <c r="K47" s="84">
        <v>3468539.45</v>
      </c>
      <c r="L47" s="84">
        <v>1723037.4</v>
      </c>
      <c r="M47" s="78">
        <f t="shared" ref="M47" si="16">SUM(B47:L47)</f>
        <v>25479396.859999999</v>
      </c>
      <c r="N47" s="116" t="s">
        <v>86</v>
      </c>
      <c r="O47" s="86"/>
    </row>
    <row r="48" spans="1:15" s="94" customFormat="1" x14ac:dyDescent="0.25">
      <c r="A48" s="115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79"/>
      <c r="N48" s="116"/>
      <c r="O48" s="86"/>
    </row>
    <row r="49" spans="1:15" s="94" customFormat="1" x14ac:dyDescent="0.25">
      <c r="A49" s="115" t="s">
        <v>37</v>
      </c>
      <c r="B49" s="84">
        <f>B47-B51</f>
        <v>3628128.04</v>
      </c>
      <c r="C49" s="84">
        <f t="shared" ref="C49:L49" si="17">C47-C51</f>
        <v>1242947.46</v>
      </c>
      <c r="D49" s="84">
        <f t="shared" si="17"/>
        <v>1016856.3600000001</v>
      </c>
      <c r="E49" s="84">
        <f t="shared" si="17"/>
        <v>731059.56</v>
      </c>
      <c r="F49" s="84">
        <f t="shared" si="17"/>
        <v>1019901.1900000001</v>
      </c>
      <c r="G49" s="84">
        <f t="shared" si="17"/>
        <v>945028.49999999988</v>
      </c>
      <c r="H49" s="84">
        <f t="shared" si="17"/>
        <v>1407837.9500000002</v>
      </c>
      <c r="I49" s="84">
        <f t="shared" si="17"/>
        <v>2316637.42</v>
      </c>
      <c r="J49" s="84">
        <f t="shared" si="17"/>
        <v>805866.28</v>
      </c>
      <c r="K49" s="84">
        <f t="shared" si="17"/>
        <v>3468539.45</v>
      </c>
      <c r="L49" s="84">
        <f t="shared" si="17"/>
        <v>1723037.4</v>
      </c>
      <c r="M49" s="78">
        <f t="shared" ref="M49" si="18">SUM(B49:L49)</f>
        <v>18305839.609999996</v>
      </c>
      <c r="N49" s="116" t="s">
        <v>89</v>
      </c>
      <c r="O49" s="86"/>
    </row>
    <row r="50" spans="1:15" s="94" customFormat="1" x14ac:dyDescent="0.25">
      <c r="A50" s="115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79"/>
      <c r="N50" s="116"/>
      <c r="O50" s="86"/>
    </row>
    <row r="51" spans="1:15" s="94" customFormat="1" x14ac:dyDescent="0.25">
      <c r="A51" s="115" t="s">
        <v>38</v>
      </c>
      <c r="B51" s="80">
        <f>'Данные по УК'!B6</f>
        <v>2238513.96</v>
      </c>
      <c r="C51" s="80">
        <f>'Данные по УК'!C6</f>
        <v>901040.08</v>
      </c>
      <c r="D51" s="80">
        <f>'Данные по УК'!D6</f>
        <v>667601.98</v>
      </c>
      <c r="E51" s="80">
        <f>'Данные по УК'!E6</f>
        <v>508605.29000000004</v>
      </c>
      <c r="F51" s="80">
        <f>'Данные по УК'!F6</f>
        <v>685206.62</v>
      </c>
      <c r="G51" s="80">
        <f>'Данные по УК'!G6</f>
        <v>589642.14</v>
      </c>
      <c r="H51" s="80">
        <f>'Данные по УК'!H6</f>
        <v>922705.39999999991</v>
      </c>
      <c r="I51" s="80">
        <f>'Данные по УК'!I6</f>
        <v>0</v>
      </c>
      <c r="J51" s="80">
        <f>'Данные по УК'!J6</f>
        <v>660241.78</v>
      </c>
      <c r="K51" s="80">
        <f>'Данные по УК'!K6</f>
        <v>0</v>
      </c>
      <c r="L51" s="80">
        <f>'Данные по УК'!L6</f>
        <v>0</v>
      </c>
      <c r="M51" s="78">
        <f t="shared" ref="M51" si="19">SUM(B51:L51)</f>
        <v>7173557.2500000009</v>
      </c>
      <c r="N51" s="116" t="s">
        <v>89</v>
      </c>
      <c r="O51" s="86"/>
    </row>
    <row r="52" spans="1:15" s="94" customFormat="1" x14ac:dyDescent="0.25">
      <c r="A52" s="115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79"/>
      <c r="N52" s="117"/>
      <c r="O52" s="86"/>
    </row>
    <row r="53" spans="1:15" s="94" customFormat="1" x14ac:dyDescent="0.25">
      <c r="A53" s="115" t="s">
        <v>39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78">
        <f t="shared" ref="M53" si="20">SUM(B53:L53)</f>
        <v>0</v>
      </c>
      <c r="N53" s="117"/>
      <c r="O53" s="86"/>
    </row>
    <row r="54" spans="1:15" s="94" customFormat="1" x14ac:dyDescent="0.25">
      <c r="A54" s="115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78"/>
      <c r="N54" s="117"/>
      <c r="O54" s="86"/>
    </row>
    <row r="55" spans="1:15" s="125" customFormat="1" outlineLevel="1" x14ac:dyDescent="0.25">
      <c r="A55" s="118" t="s">
        <v>44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79"/>
      <c r="N55" s="117"/>
      <c r="O55" s="124"/>
    </row>
    <row r="56" spans="1:15" s="121" customFormat="1" outlineLevel="1" x14ac:dyDescent="0.25">
      <c r="A56" s="122" t="s">
        <v>69</v>
      </c>
      <c r="B56" s="80">
        <v>1905304.25</v>
      </c>
      <c r="C56" s="81">
        <v>743458.7</v>
      </c>
      <c r="D56" s="80">
        <v>691512.41</v>
      </c>
      <c r="E56" s="80">
        <v>510249.02</v>
      </c>
      <c r="F56" s="81">
        <v>898655.63</v>
      </c>
      <c r="G56" s="81">
        <v>733593.56</v>
      </c>
      <c r="H56" s="81">
        <v>1226421.48</v>
      </c>
      <c r="I56" s="81">
        <v>1071903.58</v>
      </c>
      <c r="J56" s="81"/>
      <c r="K56" s="81">
        <v>1308982.28</v>
      </c>
      <c r="L56" s="81">
        <v>566821.47</v>
      </c>
      <c r="M56" s="78">
        <f>SUM(B56:L56)</f>
        <v>9656902.3800000008</v>
      </c>
      <c r="N56" s="117" t="s">
        <v>87</v>
      </c>
      <c r="O56" s="120"/>
    </row>
    <row r="57" spans="1:15" s="121" customFormat="1" outlineLevel="1" x14ac:dyDescent="0.25">
      <c r="A57" s="118"/>
      <c r="B57" s="123"/>
      <c r="C57" s="81"/>
      <c r="D57" s="123"/>
      <c r="E57" s="123"/>
      <c r="F57" s="79"/>
      <c r="G57" s="79"/>
      <c r="H57" s="79"/>
      <c r="I57" s="79"/>
      <c r="J57" s="79"/>
      <c r="K57" s="79"/>
      <c r="L57" s="79"/>
      <c r="M57" s="79"/>
      <c r="N57" s="119"/>
      <c r="O57" s="120"/>
    </row>
    <row r="58" spans="1:15" s="94" customFormat="1" outlineLevel="1" x14ac:dyDescent="0.25">
      <c r="A58" s="115" t="s">
        <v>66</v>
      </c>
      <c r="B58" s="84">
        <v>16570.14</v>
      </c>
      <c r="C58" s="84">
        <v>6281.83</v>
      </c>
      <c r="D58" s="84">
        <v>8057.98</v>
      </c>
      <c r="E58" s="84">
        <v>5974.11</v>
      </c>
      <c r="F58" s="84">
        <v>8186.21</v>
      </c>
      <c r="G58" s="84">
        <v>6702.53</v>
      </c>
      <c r="H58" s="84">
        <v>11398.28</v>
      </c>
      <c r="I58" s="84">
        <v>9942.11</v>
      </c>
      <c r="J58" s="84"/>
      <c r="K58" s="84">
        <v>21059.72</v>
      </c>
      <c r="L58" s="84">
        <v>9409.77</v>
      </c>
      <c r="M58" s="78">
        <f t="shared" ref="M58" si="21">SUM(B58:L58)</f>
        <v>103582.68000000001</v>
      </c>
      <c r="N58" s="117"/>
      <c r="O58" s="86"/>
    </row>
    <row r="59" spans="1:15" s="94" customFormat="1" outlineLevel="1" x14ac:dyDescent="0.25">
      <c r="A59" s="115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79"/>
      <c r="N59" s="117"/>
      <c r="O59" s="86"/>
    </row>
    <row r="60" spans="1:15" s="94" customFormat="1" outlineLevel="1" x14ac:dyDescent="0.25">
      <c r="A60" s="115" t="s">
        <v>34</v>
      </c>
      <c r="B60" s="84">
        <v>1424341.66</v>
      </c>
      <c r="C60" s="84">
        <v>624024.94999999995</v>
      </c>
      <c r="D60" s="84">
        <v>640706.80000000005</v>
      </c>
      <c r="E60" s="84">
        <v>495874.8</v>
      </c>
      <c r="F60" s="84">
        <v>867207.88</v>
      </c>
      <c r="G60" s="84">
        <v>686067.85</v>
      </c>
      <c r="H60" s="84">
        <v>1131430.3700000001</v>
      </c>
      <c r="I60" s="84">
        <v>1021667.11</v>
      </c>
      <c r="J60" s="84"/>
      <c r="K60" s="84">
        <v>1097051.22</v>
      </c>
      <c r="L60" s="84">
        <v>477906.34</v>
      </c>
      <c r="M60" s="78">
        <f t="shared" ref="M60" si="22">SUM(B60:L60)</f>
        <v>8466278.9800000004</v>
      </c>
      <c r="N60" s="117"/>
      <c r="O60" s="86"/>
    </row>
    <row r="61" spans="1:15" s="94" customFormat="1" outlineLevel="1" x14ac:dyDescent="0.25">
      <c r="A61" s="115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79"/>
      <c r="N61" s="117"/>
      <c r="O61" s="86"/>
    </row>
    <row r="62" spans="1:15" s="94" customFormat="1" outlineLevel="1" x14ac:dyDescent="0.25">
      <c r="A62" s="115" t="s">
        <v>35</v>
      </c>
      <c r="B62" s="84">
        <v>895394.2</v>
      </c>
      <c r="C62" s="84">
        <v>233911.75</v>
      </c>
      <c r="D62" s="84">
        <v>180386.24</v>
      </c>
      <c r="E62" s="84">
        <v>82926.67</v>
      </c>
      <c r="F62" s="84">
        <v>157984.24</v>
      </c>
      <c r="G62" s="84">
        <v>195006.55</v>
      </c>
      <c r="H62" s="84">
        <v>240933.79</v>
      </c>
      <c r="I62" s="84">
        <v>173393.9</v>
      </c>
      <c r="J62" s="84"/>
      <c r="K62" s="84">
        <v>360171.67</v>
      </c>
      <c r="L62" s="84">
        <v>164645.20000000001</v>
      </c>
      <c r="M62" s="78">
        <f t="shared" ref="M62" si="23">SUM(B62:L62)</f>
        <v>2684754.21</v>
      </c>
      <c r="N62" s="117"/>
      <c r="O62" s="86"/>
    </row>
    <row r="63" spans="1:15" s="94" customFormat="1" outlineLevel="1" x14ac:dyDescent="0.25">
      <c r="A63" s="115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79"/>
      <c r="N63" s="117"/>
      <c r="O63" s="86"/>
    </row>
    <row r="64" spans="1:15" s="94" customFormat="1" outlineLevel="1" x14ac:dyDescent="0.25">
      <c r="A64" s="115" t="s">
        <v>36</v>
      </c>
      <c r="B64" s="84">
        <v>702706.05</v>
      </c>
      <c r="C64" s="84">
        <v>235556.8</v>
      </c>
      <c r="D64" s="84">
        <v>869911.46</v>
      </c>
      <c r="E64" s="84">
        <v>673005.61</v>
      </c>
      <c r="F64" s="84">
        <v>243864.48</v>
      </c>
      <c r="G64" s="84">
        <v>214672.36</v>
      </c>
      <c r="H64" s="84">
        <v>341918.2</v>
      </c>
      <c r="I64" s="84">
        <v>317237.59999999998</v>
      </c>
      <c r="J64" s="84">
        <v>812395.86</v>
      </c>
      <c r="K64" s="84">
        <v>403496.92</v>
      </c>
      <c r="L64" s="84">
        <v>195631.84</v>
      </c>
      <c r="M64" s="78">
        <f t="shared" ref="M64" si="24">SUM(B64:L64)</f>
        <v>5010397.18</v>
      </c>
      <c r="N64" s="117"/>
      <c r="O64" s="86"/>
    </row>
    <row r="65" spans="1:15" s="94" customFormat="1" outlineLevel="1" x14ac:dyDescent="0.25">
      <c r="A65" s="115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79"/>
      <c r="N65" s="117"/>
      <c r="O65" s="86"/>
    </row>
    <row r="66" spans="1:15" s="94" customFormat="1" outlineLevel="1" x14ac:dyDescent="0.25">
      <c r="A66" s="115" t="s">
        <v>37</v>
      </c>
      <c r="B66" s="84">
        <f>B64-B68</f>
        <v>702706.05</v>
      </c>
      <c r="C66" s="84">
        <f t="shared" ref="C66:L66" si="25">C64-C68</f>
        <v>235556.8</v>
      </c>
      <c r="D66" s="84">
        <f t="shared" si="25"/>
        <v>678342.74</v>
      </c>
      <c r="E66" s="84">
        <f t="shared" si="25"/>
        <v>520796.31</v>
      </c>
      <c r="F66" s="84">
        <f t="shared" si="25"/>
        <v>243864.48</v>
      </c>
      <c r="G66" s="84">
        <f t="shared" si="25"/>
        <v>214672.36</v>
      </c>
      <c r="H66" s="84">
        <f t="shared" si="25"/>
        <v>341918.2</v>
      </c>
      <c r="I66" s="84">
        <f t="shared" si="25"/>
        <v>317237.59999999998</v>
      </c>
      <c r="J66" s="84">
        <f t="shared" si="25"/>
        <v>499045.5</v>
      </c>
      <c r="K66" s="84">
        <f t="shared" si="25"/>
        <v>403496.92</v>
      </c>
      <c r="L66" s="84">
        <f t="shared" si="25"/>
        <v>195631.84</v>
      </c>
      <c r="M66" s="78">
        <f t="shared" ref="M66" si="26">SUM(B66:L66)</f>
        <v>4353268.8</v>
      </c>
      <c r="N66" s="117"/>
      <c r="O66" s="86"/>
    </row>
    <row r="67" spans="1:15" s="94" customFormat="1" outlineLevel="1" x14ac:dyDescent="0.25">
      <c r="A67" s="115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79"/>
      <c r="N67" s="117"/>
      <c r="O67" s="86"/>
    </row>
    <row r="68" spans="1:15" s="94" customFormat="1" outlineLevel="1" x14ac:dyDescent="0.25">
      <c r="A68" s="115" t="s">
        <v>38</v>
      </c>
      <c r="B68" s="84">
        <f>'Данные по УК'!B9</f>
        <v>0</v>
      </c>
      <c r="C68" s="84">
        <f>'Данные по УК'!C9</f>
        <v>0</v>
      </c>
      <c r="D68" s="84">
        <f>'Данные по УК'!D9</f>
        <v>191568.72</v>
      </c>
      <c r="E68" s="84">
        <f>'Данные по УК'!E9</f>
        <v>152209.29999999999</v>
      </c>
      <c r="F68" s="84">
        <f>'Данные по УК'!F9</f>
        <v>0</v>
      </c>
      <c r="G68" s="84">
        <f>'Данные по УК'!G9</f>
        <v>0</v>
      </c>
      <c r="H68" s="84">
        <f>'Данные по УК'!H9</f>
        <v>0</v>
      </c>
      <c r="I68" s="84">
        <f>'Данные по УК'!I9</f>
        <v>0</v>
      </c>
      <c r="J68" s="84">
        <f>'Данные по УК'!J9</f>
        <v>313350.36</v>
      </c>
      <c r="K68" s="84">
        <f>'Данные по УК'!K9</f>
        <v>0</v>
      </c>
      <c r="L68" s="84">
        <f>'Данные по УК'!L9</f>
        <v>0</v>
      </c>
      <c r="M68" s="78">
        <f t="shared" ref="M68" si="27">SUM(B68:L68)</f>
        <v>657128.38</v>
      </c>
      <c r="N68" s="117"/>
      <c r="O68" s="86"/>
    </row>
    <row r="69" spans="1:15" s="94" customFormat="1" outlineLevel="1" x14ac:dyDescent="0.25">
      <c r="A69" s="115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79"/>
      <c r="N69" s="117"/>
      <c r="O69" s="86"/>
    </row>
    <row r="70" spans="1:15" s="94" customFormat="1" outlineLevel="1" x14ac:dyDescent="0.25">
      <c r="A70" s="115" t="s">
        <v>39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78">
        <f t="shared" ref="M70" si="28">SUM(B70:L70)</f>
        <v>0</v>
      </c>
      <c r="N70" s="117"/>
      <c r="O70" s="86"/>
    </row>
    <row r="71" spans="1:15" s="94" customFormat="1" outlineLevel="1" x14ac:dyDescent="0.25">
      <c r="A71" s="115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78"/>
      <c r="N71" s="117"/>
      <c r="O71" s="86"/>
    </row>
    <row r="72" spans="1:15" s="125" customFormat="1" x14ac:dyDescent="0.25">
      <c r="A72" s="118" t="s">
        <v>45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79"/>
      <c r="N72" s="117"/>
      <c r="O72" s="124"/>
    </row>
    <row r="73" spans="1:15" s="121" customFormat="1" x14ac:dyDescent="0.25">
      <c r="A73" s="122" t="s">
        <v>69</v>
      </c>
      <c r="B73" s="80">
        <v>2467323.42</v>
      </c>
      <c r="C73" s="81">
        <v>883615.36</v>
      </c>
      <c r="D73" s="80">
        <v>1409475.15</v>
      </c>
      <c r="E73" s="80">
        <v>1008659.36</v>
      </c>
      <c r="F73" s="81">
        <v>1242661.93</v>
      </c>
      <c r="G73" s="81">
        <v>1023041.62</v>
      </c>
      <c r="H73" s="81">
        <v>1679500.7</v>
      </c>
      <c r="I73" s="81">
        <v>1520504.61</v>
      </c>
      <c r="J73" s="81">
        <v>1520504.61</v>
      </c>
      <c r="K73" s="81">
        <v>1991562.08</v>
      </c>
      <c r="L73" s="81">
        <v>923694.6</v>
      </c>
      <c r="M73" s="78">
        <f>SUM(B73:L73)</f>
        <v>15670543.439999998</v>
      </c>
      <c r="N73" s="116" t="s">
        <v>86</v>
      </c>
      <c r="O73" s="120"/>
    </row>
    <row r="74" spans="1:15" s="121" customFormat="1" x14ac:dyDescent="0.25">
      <c r="A74" s="118"/>
      <c r="B74" s="123"/>
      <c r="C74" s="81"/>
      <c r="D74" s="123"/>
      <c r="E74" s="123"/>
      <c r="F74" s="79"/>
      <c r="G74" s="79"/>
      <c r="H74" s="79"/>
      <c r="I74" s="79"/>
      <c r="J74" s="79"/>
      <c r="K74" s="79"/>
      <c r="L74" s="79"/>
      <c r="M74" s="79"/>
      <c r="N74" s="57"/>
      <c r="O74" s="120"/>
    </row>
    <row r="75" spans="1:15" s="94" customFormat="1" x14ac:dyDescent="0.25">
      <c r="A75" s="115" t="s">
        <v>66</v>
      </c>
      <c r="B75" s="84">
        <v>39674.629999999997</v>
      </c>
      <c r="C75" s="84">
        <v>14235.06</v>
      </c>
      <c r="D75" s="84">
        <v>22611.56</v>
      </c>
      <c r="E75" s="84">
        <v>16152.22</v>
      </c>
      <c r="F75" s="84">
        <v>19918.71</v>
      </c>
      <c r="G75" s="84">
        <v>16387.98</v>
      </c>
      <c r="H75" s="84">
        <v>26879.14</v>
      </c>
      <c r="I75" s="84">
        <v>24332.52</v>
      </c>
      <c r="J75" s="84">
        <v>245960.76</v>
      </c>
      <c r="K75" s="84">
        <v>48022.28</v>
      </c>
      <c r="L75" s="84">
        <v>22301.42</v>
      </c>
      <c r="M75" s="78">
        <f t="shared" ref="M75" si="29">SUM(B75:L75)</f>
        <v>496476.27999999997</v>
      </c>
      <c r="N75" s="116"/>
      <c r="O75" s="86"/>
    </row>
    <row r="76" spans="1:15" s="94" customFormat="1" x14ac:dyDescent="0.25">
      <c r="A76" s="115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79"/>
      <c r="N76" s="116"/>
      <c r="O76" s="86"/>
    </row>
    <row r="77" spans="1:15" s="94" customFormat="1" x14ac:dyDescent="0.25">
      <c r="A77" s="115" t="s">
        <v>34</v>
      </c>
      <c r="B77" s="84">
        <v>1844488.38</v>
      </c>
      <c r="C77" s="84">
        <v>741665.99</v>
      </c>
      <c r="D77" s="84">
        <v>1305920.6200000001</v>
      </c>
      <c r="E77" s="84">
        <v>980244.43</v>
      </c>
      <c r="F77" s="84">
        <v>1199175.95</v>
      </c>
      <c r="G77" s="84">
        <v>956764.07</v>
      </c>
      <c r="H77" s="84">
        <v>1549416.85</v>
      </c>
      <c r="I77" s="84">
        <v>1449243.74</v>
      </c>
      <c r="J77" s="84">
        <v>1449243.74</v>
      </c>
      <c r="K77" s="84">
        <v>1669117.79</v>
      </c>
      <c r="L77" s="84">
        <v>778798.13</v>
      </c>
      <c r="M77" s="78">
        <f t="shared" ref="M77" si="30">SUM(B77:L77)</f>
        <v>13924079.690000003</v>
      </c>
      <c r="N77" s="116" t="s">
        <v>88</v>
      </c>
      <c r="O77" s="86"/>
    </row>
    <row r="78" spans="1:15" s="94" customFormat="1" x14ac:dyDescent="0.25">
      <c r="A78" s="115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79"/>
      <c r="N78" s="116"/>
      <c r="O78" s="86"/>
    </row>
    <row r="79" spans="1:15" s="94" customFormat="1" x14ac:dyDescent="0.25">
      <c r="A79" s="115" t="s">
        <v>35</v>
      </c>
      <c r="B79" s="84">
        <v>1159514.06</v>
      </c>
      <c r="C79" s="84">
        <v>278008.7</v>
      </c>
      <c r="D79" s="84">
        <v>367672.24</v>
      </c>
      <c r="E79" s="84">
        <v>163929.29999999999</v>
      </c>
      <c r="F79" s="84">
        <v>218460.77</v>
      </c>
      <c r="G79" s="84">
        <v>271948.7</v>
      </c>
      <c r="H79" s="84">
        <v>329942.40999999997</v>
      </c>
      <c r="I79" s="84">
        <v>245960.76</v>
      </c>
      <c r="J79" s="84">
        <v>245960.76</v>
      </c>
      <c r="K79" s="84">
        <v>547986.22</v>
      </c>
      <c r="L79" s="84">
        <v>268306.49</v>
      </c>
      <c r="M79" s="78">
        <f t="shared" ref="M79" si="31">SUM(B79:L79)</f>
        <v>4097690.41</v>
      </c>
      <c r="N79" s="116" t="s">
        <v>88</v>
      </c>
      <c r="O79" s="86"/>
    </row>
    <row r="80" spans="1:15" s="94" customFormat="1" x14ac:dyDescent="0.25">
      <c r="A80" s="115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79"/>
      <c r="N80" s="116"/>
      <c r="O80" s="86"/>
    </row>
    <row r="81" spans="1:15" s="94" customFormat="1" x14ac:dyDescent="0.25">
      <c r="A81" s="115" t="s">
        <v>36</v>
      </c>
      <c r="B81" s="84">
        <v>2953135.88</v>
      </c>
      <c r="C81" s="84">
        <v>1110536.2</v>
      </c>
      <c r="D81" s="84">
        <v>1603145.98</v>
      </c>
      <c r="E81" s="84">
        <v>1315083.8700000001</v>
      </c>
      <c r="F81" s="84">
        <v>1268974.26</v>
      </c>
      <c r="G81" s="84">
        <v>1040441.22</v>
      </c>
      <c r="H81" s="84">
        <v>1794381.8</v>
      </c>
      <c r="I81" s="84">
        <v>1622379.5</v>
      </c>
      <c r="J81" s="84">
        <v>199564.55</v>
      </c>
      <c r="K81" s="84">
        <v>2048827.36</v>
      </c>
      <c r="L81" s="84">
        <v>910492.79</v>
      </c>
      <c r="M81" s="78">
        <f t="shared" ref="M81" si="32">SUM(B81:L81)</f>
        <v>15866963.41</v>
      </c>
      <c r="N81" s="116" t="s">
        <v>86</v>
      </c>
      <c r="O81" s="86"/>
    </row>
    <row r="82" spans="1:15" s="94" customFormat="1" x14ac:dyDescent="0.25">
      <c r="A82" s="115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79"/>
      <c r="N82" s="116"/>
      <c r="O82" s="86"/>
    </row>
    <row r="83" spans="1:15" s="94" customFormat="1" x14ac:dyDescent="0.25">
      <c r="A83" s="115" t="s">
        <v>37</v>
      </c>
      <c r="B83" s="84">
        <f>B81-B85</f>
        <v>1947190.5699999998</v>
      </c>
      <c r="C83" s="84">
        <f t="shared" ref="C83:L83" si="33">C81-C85</f>
        <v>649067.91999999993</v>
      </c>
      <c r="D83" s="84">
        <f t="shared" si="33"/>
        <v>905749.52</v>
      </c>
      <c r="E83" s="84">
        <f t="shared" si="33"/>
        <v>792400.41000000015</v>
      </c>
      <c r="F83" s="84">
        <f t="shared" si="33"/>
        <v>843365.76</v>
      </c>
      <c r="G83" s="84">
        <f t="shared" si="33"/>
        <v>691623.36</v>
      </c>
      <c r="H83" s="84">
        <f t="shared" si="33"/>
        <v>1115823</v>
      </c>
      <c r="I83" s="84">
        <f t="shared" si="33"/>
        <v>1055505.2</v>
      </c>
      <c r="J83" s="84">
        <f t="shared" si="33"/>
        <v>166984.4</v>
      </c>
      <c r="K83" s="84">
        <f t="shared" si="33"/>
        <v>1666698.6</v>
      </c>
      <c r="L83" s="84">
        <f t="shared" si="33"/>
        <v>741120.48</v>
      </c>
      <c r="M83" s="78">
        <f t="shared" ref="M83" si="34">SUM(B83:L83)</f>
        <v>10575529.220000001</v>
      </c>
      <c r="N83" s="116"/>
      <c r="O83" s="86"/>
    </row>
    <row r="84" spans="1:15" s="94" customFormat="1" x14ac:dyDescent="0.25">
      <c r="A84" s="115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79"/>
      <c r="N84" s="116"/>
      <c r="O84" s="86"/>
    </row>
    <row r="85" spans="1:15" s="94" customFormat="1" x14ac:dyDescent="0.25">
      <c r="A85" s="115" t="s">
        <v>38</v>
      </c>
      <c r="B85" s="84">
        <f>'Данные по УК'!B11</f>
        <v>1005945.31</v>
      </c>
      <c r="C85" s="84">
        <f>'Данные по УК'!C11</f>
        <v>461468.28</v>
      </c>
      <c r="D85" s="84">
        <f>'Данные по УК'!D11</f>
        <v>697396.46</v>
      </c>
      <c r="E85" s="84">
        <f>'Данные по УК'!E11</f>
        <v>522683.45999999996</v>
      </c>
      <c r="F85" s="84">
        <f>'Данные по УК'!F11</f>
        <v>425608.50000000006</v>
      </c>
      <c r="G85" s="84">
        <f>'Данные по УК'!G11</f>
        <v>348817.86</v>
      </c>
      <c r="H85" s="84">
        <f>'Данные по УК'!H11</f>
        <v>678558.79999999993</v>
      </c>
      <c r="I85" s="84">
        <f>'Данные по УК'!I11</f>
        <v>566874.30000000005</v>
      </c>
      <c r="J85" s="84">
        <f>'Данные по УК'!J11</f>
        <v>32580.15</v>
      </c>
      <c r="K85" s="84">
        <f>'Данные по УК'!K11</f>
        <v>382128.76</v>
      </c>
      <c r="L85" s="84">
        <f>'Данные по УК'!L11</f>
        <v>169372.31</v>
      </c>
      <c r="M85" s="78">
        <f t="shared" ref="M85" si="35">SUM(B85:L85)</f>
        <v>5291434.1899999995</v>
      </c>
      <c r="N85" s="116" t="s">
        <v>89</v>
      </c>
      <c r="O85" s="86"/>
    </row>
    <row r="86" spans="1:15" x14ac:dyDescent="0.25">
      <c r="A86" s="1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9"/>
      <c r="N86" s="85"/>
      <c r="O86" s="37"/>
    </row>
    <row r="87" spans="1:15" x14ac:dyDescent="0.25">
      <c r="A87" s="16" t="s">
        <v>39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8">
        <f t="shared" ref="M87" si="36">SUM(B87:L87)</f>
        <v>0</v>
      </c>
      <c r="N87" s="85"/>
      <c r="O87" s="37"/>
    </row>
    <row r="88" spans="1:15" x14ac:dyDescent="0.25">
      <c r="A88" s="1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8"/>
      <c r="N88" s="85"/>
      <c r="O88" s="37"/>
    </row>
    <row r="89" spans="1:15" ht="17.45" customHeight="1" x14ac:dyDescent="0.25">
      <c r="B89" s="37"/>
      <c r="C89" s="87"/>
      <c r="D89" s="37"/>
      <c r="E89" s="37"/>
      <c r="F89" s="88"/>
      <c r="G89" s="88"/>
      <c r="H89" s="88"/>
      <c r="I89" s="88"/>
      <c r="J89" s="88"/>
      <c r="K89" s="88"/>
      <c r="L89" s="21"/>
      <c r="M89" s="58"/>
      <c r="N89" s="85"/>
      <c r="O89" s="37"/>
    </row>
    <row r="90" spans="1:15" s="19" customFormat="1" ht="11.25" outlineLevel="1" x14ac:dyDescent="0.2">
      <c r="A90" s="4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133">
        <f t="shared" ref="M90" si="37">M77+M60+M43+M26+M9</f>
        <v>61996225.000000007</v>
      </c>
      <c r="N90" s="21"/>
      <c r="O90" s="21"/>
    </row>
    <row r="91" spans="1:15" s="19" customFormat="1" outlineLevel="1" x14ac:dyDescent="0.25">
      <c r="A91" s="132" t="s">
        <v>74</v>
      </c>
      <c r="B91" s="126">
        <f t="shared" ref="B91" si="38">B5+B22+B39+B56+B73</f>
        <v>15099797.99</v>
      </c>
      <c r="C91" s="126">
        <f t="shared" ref="C91:J91" si="39">C5+C22+C39+C56+C73</f>
        <v>4569991.6000000006</v>
      </c>
      <c r="D91" s="126">
        <f t="shared" si="39"/>
        <v>6296361.9299999997</v>
      </c>
      <c r="E91" s="126">
        <f t="shared" si="39"/>
        <v>4545948.1100000003</v>
      </c>
      <c r="F91" s="126">
        <f t="shared" si="39"/>
        <v>5678319.9900000002</v>
      </c>
      <c r="G91" s="126">
        <f t="shared" si="39"/>
        <v>4746849.91</v>
      </c>
      <c r="H91" s="126">
        <f t="shared" si="39"/>
        <v>7514224.4200000009</v>
      </c>
      <c r="I91" s="126">
        <f t="shared" si="39"/>
        <v>7107253.4200000009</v>
      </c>
      <c r="J91" s="126">
        <f t="shared" si="39"/>
        <v>1520504.61</v>
      </c>
      <c r="K91" s="126">
        <f t="shared" ref="K91:M91" si="40">K5+K22+K39+K56+K73</f>
        <v>9257280.75</v>
      </c>
      <c r="L91" s="126">
        <f t="shared" si="40"/>
        <v>4492277.7399999993</v>
      </c>
      <c r="M91" s="126">
        <f t="shared" si="40"/>
        <v>70828810.469999999</v>
      </c>
      <c r="N91" s="21"/>
      <c r="O91" s="21"/>
    </row>
    <row r="92" spans="1:15" x14ac:dyDescent="0.25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85"/>
      <c r="O92" s="37"/>
    </row>
    <row r="93" spans="1:15" x14ac:dyDescent="0.25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85"/>
      <c r="O93" s="37"/>
    </row>
    <row r="94" spans="1:15" x14ac:dyDescent="0.25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</row>
    <row r="95" spans="1:15" x14ac:dyDescent="0.25">
      <c r="B95" s="126">
        <f t="shared" ref="B95" si="41">B9+B26+B43+B60+B77</f>
        <v>11288103.41</v>
      </c>
      <c r="C95" s="126">
        <f t="shared" ref="C95:J95" si="42">C9+C26+C43+C60+C77</f>
        <v>3835840.2300000004</v>
      </c>
      <c r="D95" s="126">
        <f t="shared" si="42"/>
        <v>5833766.4299999997</v>
      </c>
      <c r="E95" s="126">
        <f t="shared" si="42"/>
        <v>4417884.2799999993</v>
      </c>
      <c r="F95" s="126">
        <f t="shared" si="42"/>
        <v>5479611.6200000001</v>
      </c>
      <c r="G95" s="126">
        <f t="shared" si="42"/>
        <v>4439326.18</v>
      </c>
      <c r="H95" s="126">
        <f t="shared" si="42"/>
        <v>6932218.5600000005</v>
      </c>
      <c r="I95" s="126">
        <f t="shared" si="42"/>
        <v>6774160.6700000009</v>
      </c>
      <c r="J95" s="126">
        <f t="shared" si="42"/>
        <v>1449243.74</v>
      </c>
      <c r="K95" s="126">
        <f t="shared" ref="K95:M95" si="43">K9+K26+K43+K60+K77</f>
        <v>7758478.6999999993</v>
      </c>
      <c r="L95" s="126">
        <f t="shared" si="43"/>
        <v>3787591.1799999997</v>
      </c>
      <c r="M95" s="126">
        <f t="shared" si="43"/>
        <v>61996225.000000007</v>
      </c>
    </row>
    <row r="96" spans="1:15" x14ac:dyDescent="0.25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</row>
    <row r="97" spans="2:13" x14ac:dyDescent="0.25">
      <c r="B97" s="126">
        <f t="shared" ref="B97" si="44">B11+B28+B45+B62+B79</f>
        <v>7096122.0500000007</v>
      </c>
      <c r="C97" s="126">
        <f t="shared" ref="C97:J97" si="45">C11+C28+C45+C62+C79</f>
        <v>1437840.0599999998</v>
      </c>
      <c r="D97" s="126">
        <f t="shared" si="45"/>
        <v>1642453.58</v>
      </c>
      <c r="E97" s="126">
        <f t="shared" si="45"/>
        <v>738816.41000000015</v>
      </c>
      <c r="F97" s="126">
        <f t="shared" si="45"/>
        <v>998252.31</v>
      </c>
      <c r="G97" s="126">
        <f t="shared" si="45"/>
        <v>1261825.18</v>
      </c>
      <c r="H97" s="126">
        <f t="shared" si="45"/>
        <v>1476189.5199999998</v>
      </c>
      <c r="I97" s="126">
        <f t="shared" si="45"/>
        <v>1149687.7200000002</v>
      </c>
      <c r="J97" s="126">
        <f t="shared" si="45"/>
        <v>245960.76</v>
      </c>
      <c r="K97" s="126">
        <f t="shared" ref="K97:M97" si="46">K11+K28+K45+K62+K79</f>
        <v>2547177.5699999998</v>
      </c>
      <c r="L97" s="126">
        <f t="shared" si="46"/>
        <v>1304876.3799999999</v>
      </c>
      <c r="M97" s="126">
        <f t="shared" si="46"/>
        <v>19899201.540000003</v>
      </c>
    </row>
    <row r="98" spans="2:13" x14ac:dyDescent="0.25">
      <c r="E98" s="127"/>
      <c r="F98" s="128"/>
      <c r="G98" s="128"/>
      <c r="H98" s="128"/>
      <c r="I98" s="128"/>
      <c r="J98" s="128"/>
      <c r="K98" s="126"/>
      <c r="L98" s="129"/>
      <c r="M98" s="130"/>
    </row>
    <row r="99" spans="2:13" x14ac:dyDescent="0.25">
      <c r="E99" s="127"/>
      <c r="F99" s="128"/>
      <c r="G99" s="128"/>
      <c r="H99" s="128"/>
      <c r="I99" s="128"/>
      <c r="J99" s="128"/>
      <c r="K99" s="128"/>
      <c r="L99" s="129"/>
      <c r="M99" s="130"/>
    </row>
    <row r="100" spans="2:13" x14ac:dyDescent="0.25">
      <c r="E100" s="127"/>
      <c r="F100" s="128"/>
      <c r="G100" s="128"/>
      <c r="H100" s="128"/>
      <c r="I100" s="128"/>
      <c r="J100" s="128"/>
      <c r="K100" s="128"/>
      <c r="L100" s="131">
        <f>L97-[1]Лист1!$O$79+[1]Лист1!$N$79</f>
        <v>2.7252559812041E-3</v>
      </c>
      <c r="M100" s="130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outlineLevelRow="1" x14ac:dyDescent="0.25"/>
  <cols>
    <col min="1" max="1" width="67.28515625" customWidth="1"/>
    <col min="2" max="2" width="12.85546875" customWidth="1"/>
    <col min="3" max="3" width="12.140625" customWidth="1"/>
    <col min="4" max="4" width="12" customWidth="1"/>
    <col min="5" max="10" width="11.28515625" customWidth="1"/>
    <col min="11" max="12" width="17.42578125" bestFit="1" customWidth="1"/>
    <col min="13" max="13" width="16.140625" customWidth="1"/>
  </cols>
  <sheetData>
    <row r="1" spans="1:13" ht="15.75" thickBot="1" x14ac:dyDescent="0.3">
      <c r="A1" s="33" t="s">
        <v>62</v>
      </c>
      <c r="B1" s="127" t="s">
        <v>91</v>
      </c>
    </row>
    <row r="2" spans="1:13" ht="20.100000000000001" customHeight="1" thickBot="1" x14ac:dyDescent="0.3">
      <c r="A2" s="35" t="s">
        <v>51</v>
      </c>
      <c r="B2" s="10" t="s">
        <v>75</v>
      </c>
      <c r="C2" s="10" t="s">
        <v>76</v>
      </c>
      <c r="D2" s="10" t="s">
        <v>79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77</v>
      </c>
      <c r="L2" s="10" t="s">
        <v>78</v>
      </c>
      <c r="M2" s="30" t="s">
        <v>64</v>
      </c>
    </row>
    <row r="3" spans="1:13" ht="20.100000000000001" customHeight="1" outlineLevel="1" thickBot="1" x14ac:dyDescent="0.3">
      <c r="A3" s="22"/>
      <c r="B3" s="27"/>
      <c r="C3" s="28"/>
      <c r="D3" s="28"/>
      <c r="E3" s="28"/>
      <c r="F3" s="44"/>
      <c r="G3" s="44"/>
      <c r="H3" s="44"/>
      <c r="I3" s="44"/>
      <c r="J3" s="44"/>
      <c r="K3" s="44"/>
      <c r="L3" s="44"/>
      <c r="M3" s="29">
        <f>SUM(B3:L3)</f>
        <v>0</v>
      </c>
    </row>
    <row r="4" spans="1:13" ht="24.6" customHeight="1" x14ac:dyDescent="0.25">
      <c r="A4" s="34" t="s">
        <v>18</v>
      </c>
      <c r="B4" s="25">
        <v>711462.40000000002</v>
      </c>
      <c r="C4" s="25">
        <f>257033.63-198</f>
        <v>256835.63</v>
      </c>
      <c r="D4" s="25">
        <f>231099.04</f>
        <v>231099.04</v>
      </c>
      <c r="E4" s="25">
        <v>190263.84</v>
      </c>
      <c r="F4" s="25">
        <v>217875.64</v>
      </c>
      <c r="G4" s="25">
        <v>178563.72</v>
      </c>
      <c r="H4" s="25">
        <v>275727.12</v>
      </c>
      <c r="I4" s="25">
        <v>262381.08</v>
      </c>
      <c r="J4" s="25"/>
      <c r="K4" s="25"/>
      <c r="L4" s="25"/>
      <c r="M4" s="26">
        <f>SUM(B4:L4)</f>
        <v>2324208.4700000002</v>
      </c>
    </row>
    <row r="5" spans="1:13" ht="24.6" customHeight="1" x14ac:dyDescent="0.25">
      <c r="A5" s="34" t="s">
        <v>27</v>
      </c>
      <c r="B5" s="24">
        <f>3673278.96+512557.65</f>
        <v>4185836.61</v>
      </c>
      <c r="C5" s="24">
        <f>1578365.13-1215.89</f>
        <v>1577149.24</v>
      </c>
      <c r="D5" s="24">
        <v>747874.14</v>
      </c>
      <c r="E5" s="25">
        <v>615728.4</v>
      </c>
      <c r="F5" s="24">
        <v>705078.8</v>
      </c>
      <c r="G5" s="24">
        <v>577860.93999999994</v>
      </c>
      <c r="H5" s="24">
        <v>892304.4</v>
      </c>
      <c r="I5" s="24">
        <v>849114</v>
      </c>
      <c r="J5" s="24"/>
      <c r="K5" s="24">
        <v>7195785.5599999996</v>
      </c>
      <c r="L5" s="24">
        <v>3701387.6</v>
      </c>
      <c r="M5" s="26">
        <f t="shared" ref="M5:M16" si="0">SUM(B5:L5)</f>
        <v>21048119.690000001</v>
      </c>
    </row>
    <row r="6" spans="1:13" ht="24.6" customHeight="1" x14ac:dyDescent="0.25">
      <c r="A6" s="34" t="s">
        <v>17</v>
      </c>
      <c r="B6" s="24"/>
      <c r="C6" s="24"/>
      <c r="D6" s="24">
        <f>321520.26+159.28</f>
        <v>321679.54000000004</v>
      </c>
      <c r="E6" s="24">
        <v>263197.32</v>
      </c>
      <c r="F6" s="24">
        <v>300255.42</v>
      </c>
      <c r="G6" s="24">
        <v>248136.9</v>
      </c>
      <c r="H6" s="24">
        <v>383804.28</v>
      </c>
      <c r="I6" s="24">
        <v>365226.12</v>
      </c>
      <c r="J6" s="24"/>
      <c r="K6" s="24"/>
      <c r="L6" s="24"/>
      <c r="M6" s="26">
        <f t="shared" si="0"/>
        <v>1882299.58</v>
      </c>
    </row>
    <row r="7" spans="1:13" ht="24.6" customHeight="1" x14ac:dyDescent="0.25">
      <c r="A7" s="34" t="s">
        <v>20</v>
      </c>
      <c r="B7" s="47"/>
      <c r="C7" s="47"/>
      <c r="D7" s="47"/>
      <c r="E7" s="24"/>
      <c r="F7" s="24"/>
      <c r="G7" s="24"/>
      <c r="H7" s="24"/>
      <c r="I7" s="24"/>
      <c r="J7" s="24"/>
      <c r="K7" s="24"/>
      <c r="L7" s="24"/>
      <c r="M7" s="26">
        <f t="shared" si="0"/>
        <v>0</v>
      </c>
    </row>
    <row r="8" spans="1:13" ht="24.6" customHeight="1" x14ac:dyDescent="0.25">
      <c r="A8" s="34" t="s">
        <v>21</v>
      </c>
      <c r="B8" s="24">
        <v>1276336.79</v>
      </c>
      <c r="C8" s="24">
        <f>461113.07-355.21</f>
        <v>460757.86</v>
      </c>
      <c r="D8" s="24">
        <v>16322.1</v>
      </c>
      <c r="E8" s="24">
        <v>14664.12</v>
      </c>
      <c r="F8" s="24">
        <v>390861.96</v>
      </c>
      <c r="G8" s="24">
        <v>320337.23</v>
      </c>
      <c r="H8" s="24">
        <v>494649.72</v>
      </c>
      <c r="I8" s="24">
        <v>470706.12</v>
      </c>
      <c r="J8" s="24"/>
      <c r="K8" s="24"/>
      <c r="L8" s="24"/>
      <c r="M8" s="26">
        <f t="shared" si="0"/>
        <v>3444635.9000000004</v>
      </c>
    </row>
    <row r="9" spans="1:13" ht="24.6" customHeight="1" x14ac:dyDescent="0.25">
      <c r="A9" s="34" t="s">
        <v>26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6">
        <f t="shared" si="0"/>
        <v>0</v>
      </c>
    </row>
    <row r="10" spans="1:13" ht="24.6" customHeight="1" x14ac:dyDescent="0.25">
      <c r="A10" s="34" t="s">
        <v>71</v>
      </c>
      <c r="B10" s="47"/>
      <c r="C10" s="47"/>
      <c r="D10" s="47"/>
      <c r="E10" s="24"/>
      <c r="F10" s="24"/>
      <c r="G10" s="24"/>
      <c r="H10" s="24"/>
      <c r="I10" s="24"/>
      <c r="J10" s="24"/>
      <c r="K10" s="24"/>
      <c r="L10" s="24"/>
      <c r="M10" s="26">
        <f t="shared" si="0"/>
        <v>0</v>
      </c>
    </row>
    <row r="11" spans="1:13" ht="24.6" customHeight="1" x14ac:dyDescent="0.25">
      <c r="A11" s="34" t="s">
        <v>16</v>
      </c>
      <c r="B11" s="47"/>
      <c r="C11" s="47"/>
      <c r="D11" s="47"/>
      <c r="E11" s="24"/>
      <c r="F11" s="24"/>
      <c r="G11" s="24"/>
      <c r="H11" s="24"/>
      <c r="I11" s="24"/>
      <c r="J11" s="24"/>
      <c r="K11" s="24"/>
      <c r="L11" s="24"/>
      <c r="M11" s="26">
        <f t="shared" si="0"/>
        <v>0</v>
      </c>
    </row>
    <row r="12" spans="1:13" ht="24.6" customHeight="1" x14ac:dyDescent="0.25">
      <c r="A12" s="34" t="s">
        <v>15</v>
      </c>
      <c r="B12" s="47">
        <f>986528.74-27.94</f>
        <v>986500.8</v>
      </c>
      <c r="C12" s="47">
        <f>443028.44-341.29</f>
        <v>442687.15</v>
      </c>
      <c r="D12" s="47">
        <v>379285.1</v>
      </c>
      <c r="E12" s="24">
        <v>313854.12</v>
      </c>
      <c r="F12" s="24">
        <v>346991.88</v>
      </c>
      <c r="G12" s="24">
        <v>292038.59999999998</v>
      </c>
      <c r="H12" s="24">
        <v>454436.76</v>
      </c>
      <c r="I12" s="24">
        <v>431448.84</v>
      </c>
      <c r="J12" s="24"/>
      <c r="K12" s="24"/>
      <c r="L12" s="24"/>
      <c r="M12" s="26">
        <f t="shared" si="0"/>
        <v>3647243.25</v>
      </c>
    </row>
    <row r="13" spans="1:13" ht="24.6" customHeight="1" x14ac:dyDescent="0.25">
      <c r="A13" s="34" t="s">
        <v>24</v>
      </c>
      <c r="B13" s="24">
        <v>359133.78</v>
      </c>
      <c r="C13" s="24">
        <f>156290.41-120.4</f>
        <v>156170.01</v>
      </c>
      <c r="D13" s="24">
        <f>43894.34+12174.78+10.36</f>
        <v>56079.479999999996</v>
      </c>
      <c r="E13" s="24">
        <f>9243.36+36056.96</f>
        <v>45300.32</v>
      </c>
      <c r="F13" s="24">
        <f>3624.75+112209.84</f>
        <v>115834.59</v>
      </c>
      <c r="G13" s="24">
        <f>94900+3050.95</f>
        <v>97950.95</v>
      </c>
      <c r="H13" s="24">
        <f>4965.08+152924.31</f>
        <v>157889.38999999998</v>
      </c>
      <c r="I13" s="24">
        <f>4724.74+146246.76</f>
        <v>150971.5</v>
      </c>
      <c r="J13" s="24"/>
      <c r="K13" s="24"/>
      <c r="L13" s="24"/>
      <c r="M13" s="26">
        <f t="shared" si="0"/>
        <v>1139330.02</v>
      </c>
    </row>
    <row r="14" spans="1:13" ht="24.6" customHeight="1" x14ac:dyDescent="0.25">
      <c r="A14" s="34" t="s">
        <v>23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6">
        <f t="shared" si="0"/>
        <v>0</v>
      </c>
    </row>
    <row r="15" spans="1:13" ht="24.6" customHeight="1" x14ac:dyDescent="0.25">
      <c r="A15" s="34" t="s">
        <v>22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6">
        <f t="shared" si="0"/>
        <v>0</v>
      </c>
    </row>
    <row r="16" spans="1:13" ht="24.6" customHeight="1" x14ac:dyDescent="0.25">
      <c r="A16" s="34" t="s">
        <v>19</v>
      </c>
      <c r="B16" s="24">
        <v>1122532.3899999999</v>
      </c>
      <c r="C16" s="24">
        <f>405570.23-312.44</f>
        <v>405257.79</v>
      </c>
      <c r="D16" s="24">
        <v>364646.46</v>
      </c>
      <c r="E16" s="24">
        <v>300215.40000000002</v>
      </c>
      <c r="F16" s="24">
        <v>343780.28</v>
      </c>
      <c r="G16" s="24">
        <v>281751.96000000002</v>
      </c>
      <c r="H16" s="24">
        <v>435066.96</v>
      </c>
      <c r="I16" s="24">
        <v>414009</v>
      </c>
      <c r="J16" s="24"/>
      <c r="K16" s="24"/>
      <c r="L16" s="24"/>
      <c r="M16" s="26">
        <f t="shared" si="0"/>
        <v>3667260.24</v>
      </c>
    </row>
    <row r="17" spans="1:13" ht="24.6" customHeight="1" x14ac:dyDescent="0.25">
      <c r="A17" s="34" t="s">
        <v>125</v>
      </c>
      <c r="B17" s="24">
        <f>201826.98+35617.23+35751.67</f>
        <v>273195.88</v>
      </c>
      <c r="C17" s="24">
        <f>-67.66-9.95-11.94+12916.26+15498.89+31159.42+56671.69</f>
        <v>116156.70999999999</v>
      </c>
      <c r="D17" s="24">
        <f>38.34+31.95+9613.56+11536.18+217.26+65372.3+17419.5</f>
        <v>104229.09</v>
      </c>
      <c r="E17" s="24">
        <f>41.07+34.23+7903.61+9484.54+150.6+51851.1+13725.36</f>
        <v>83190.509999999995</v>
      </c>
      <c r="F17" s="24">
        <f>69.34+83.21+624.06+748.89+305.1</f>
        <v>1830.6</v>
      </c>
      <c r="G17" s="24">
        <f>38.23+45.88+344.07+412.92+168.22</f>
        <v>1009.32</v>
      </c>
      <c r="H17" s="24">
        <f>8.4+7+49+58.8+47.6+333.2+126</f>
        <v>630</v>
      </c>
      <c r="I17" s="24"/>
      <c r="J17" s="24"/>
      <c r="K17" s="24"/>
      <c r="L17" s="24"/>
      <c r="M17" s="26"/>
    </row>
    <row r="18" spans="1:13" ht="24.6" customHeight="1" x14ac:dyDescent="0.25">
      <c r="A18" s="34" t="s">
        <v>126</v>
      </c>
      <c r="B18" s="24">
        <v>1219054.29</v>
      </c>
      <c r="C18" s="24">
        <f>-339.3+440447.91</f>
        <v>440108.61</v>
      </c>
      <c r="D18" s="24">
        <v>396002</v>
      </c>
      <c r="E18" s="24">
        <v>326031.84000000003</v>
      </c>
      <c r="F18" s="24">
        <v>373343.48</v>
      </c>
      <c r="G18" s="24">
        <v>305979.58</v>
      </c>
      <c r="H18" s="24">
        <v>472483.08</v>
      </c>
      <c r="I18" s="24">
        <v>449611.92</v>
      </c>
      <c r="J18" s="24"/>
      <c r="K18" s="24"/>
      <c r="L18" s="24"/>
      <c r="M18" s="26"/>
    </row>
    <row r="19" spans="1:13" ht="24.6" customHeight="1" x14ac:dyDescent="0.25">
      <c r="A19" s="34" t="s">
        <v>127</v>
      </c>
      <c r="B19" s="24">
        <v>287883.69</v>
      </c>
      <c r="C19" s="24">
        <f>-96.51+44448.59+80841.96</f>
        <v>125194.04000000001</v>
      </c>
      <c r="D19" s="24"/>
      <c r="E19" s="24"/>
      <c r="F19" s="24">
        <f>81775.32+16356</f>
        <v>98131.32</v>
      </c>
      <c r="G19" s="24">
        <f>13764.86+68699.56</f>
        <v>82464.42</v>
      </c>
      <c r="H19" s="24">
        <f>22264.54+111322.7</f>
        <v>133587.24</v>
      </c>
      <c r="I19" s="24">
        <f>21316.02+106580.1</f>
        <v>127896.12000000001</v>
      </c>
      <c r="J19" s="24"/>
      <c r="K19" s="24"/>
      <c r="L19" s="24"/>
      <c r="M19" s="26"/>
    </row>
    <row r="20" spans="1:13" ht="24.6" customHeight="1" x14ac:dyDescent="0.25">
      <c r="A20" s="34" t="s">
        <v>129</v>
      </c>
      <c r="B20" s="24"/>
      <c r="C20" s="24"/>
      <c r="D20" s="24">
        <v>200656.08</v>
      </c>
      <c r="E20" s="24">
        <v>164704.32000000001</v>
      </c>
      <c r="F20" s="24">
        <v>182094.48</v>
      </c>
      <c r="G20" s="24">
        <v>153256.32000000001</v>
      </c>
      <c r="H20" s="24">
        <v>247890.24</v>
      </c>
      <c r="I20" s="24">
        <v>237330</v>
      </c>
      <c r="J20" s="24"/>
      <c r="K20" s="24"/>
      <c r="L20" s="24"/>
      <c r="M20" s="26"/>
    </row>
    <row r="21" spans="1:13" x14ac:dyDescent="0.25">
      <c r="A21" s="34" t="s">
        <v>130</v>
      </c>
      <c r="B21" s="24"/>
      <c r="C21" s="24"/>
      <c r="D21" s="24">
        <f>74.04+10.28+4659.64+141569.33</f>
        <v>146313.28999999998</v>
      </c>
      <c r="E21" s="24">
        <v>116208.84</v>
      </c>
      <c r="F21" s="24"/>
      <c r="G21" s="24"/>
      <c r="H21" s="24">
        <f>677.6+88.9</f>
        <v>766.5</v>
      </c>
      <c r="I21" s="24"/>
      <c r="J21" s="24"/>
      <c r="K21" s="24"/>
      <c r="L21" s="24"/>
      <c r="M21" s="26">
        <f t="shared" ref="M21" si="1">SUM(B21:L21)</f>
        <v>263288.63</v>
      </c>
    </row>
    <row r="22" spans="1:13" x14ac:dyDescent="0.25">
      <c r="B22" s="126">
        <f t="shared" ref="B22:J22" si="2">SUM(B4:B21)</f>
        <v>10421936.630000001</v>
      </c>
      <c r="C22" s="126">
        <f t="shared" si="2"/>
        <v>3980317.0399999996</v>
      </c>
      <c r="D22" s="126">
        <f t="shared" si="2"/>
        <v>2964186.3200000003</v>
      </c>
      <c r="E22" s="126">
        <f t="shared" si="2"/>
        <v>2433359.0300000003</v>
      </c>
      <c r="F22" s="126">
        <f t="shared" si="2"/>
        <v>3076078.45</v>
      </c>
      <c r="G22" s="126">
        <f t="shared" si="2"/>
        <v>2539349.94</v>
      </c>
      <c r="H22" s="126">
        <f t="shared" si="2"/>
        <v>3949235.6900000004</v>
      </c>
      <c r="I22" s="126">
        <f t="shared" si="2"/>
        <v>3758694.7</v>
      </c>
      <c r="J22" s="126">
        <f t="shared" si="2"/>
        <v>0</v>
      </c>
      <c r="K22" s="126">
        <f>SUM(K4:K21)</f>
        <v>7195785.5599999996</v>
      </c>
      <c r="L22" s="126">
        <f t="shared" ref="L22:M22" si="3">SUM(L4:L21)</f>
        <v>3701387.6</v>
      </c>
      <c r="M22" s="126">
        <f t="shared" si="3"/>
        <v>37416385.780000001</v>
      </c>
    </row>
    <row r="23" spans="1:13" x14ac:dyDescent="0.25">
      <c r="B23" s="127"/>
      <c r="C23" s="126">
        <f>3980317.04-C22</f>
        <v>0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>
      <selection activeCell="B25" sqref="B25"/>
    </sheetView>
  </sheetViews>
  <sheetFormatPr defaultRowHeight="15" x14ac:dyDescent="0.25"/>
  <cols>
    <col min="1" max="1" width="5.5703125" customWidth="1"/>
    <col min="2" max="2" width="90.7109375" customWidth="1"/>
    <col min="3" max="3" width="11.28515625" customWidth="1"/>
    <col min="4" max="4" width="12.28515625" customWidth="1"/>
    <col min="5" max="5" width="10.42578125" customWidth="1"/>
    <col min="6" max="6" width="10.85546875" customWidth="1"/>
    <col min="7" max="7" width="10.28515625" customWidth="1"/>
    <col min="8" max="8" width="12.28515625" customWidth="1"/>
    <col min="9" max="9" width="11.140625" customWidth="1"/>
    <col min="10" max="10" width="10" customWidth="1"/>
    <col min="11" max="11" width="9.140625" customWidth="1"/>
    <col min="12" max="12" width="11.5703125" customWidth="1"/>
    <col min="13" max="13" width="13.140625" customWidth="1"/>
    <col min="14" max="14" width="15" customWidth="1"/>
  </cols>
  <sheetData>
    <row r="1" spans="1:14" x14ac:dyDescent="0.25">
      <c r="B1" s="4" t="s">
        <v>62</v>
      </c>
    </row>
    <row r="2" spans="1:14" x14ac:dyDescent="0.25">
      <c r="B2" s="3" t="s">
        <v>28</v>
      </c>
    </row>
    <row r="3" spans="1:14" ht="72" customHeight="1" x14ac:dyDescent="0.25">
      <c r="B3" s="5" t="s">
        <v>14</v>
      </c>
      <c r="C3" s="59" t="s">
        <v>103</v>
      </c>
      <c r="D3" s="59" t="s">
        <v>104</v>
      </c>
      <c r="E3" s="59" t="s">
        <v>105</v>
      </c>
      <c r="F3" s="59" t="s">
        <v>106</v>
      </c>
      <c r="G3" s="59" t="s">
        <v>107</v>
      </c>
      <c r="H3" s="59" t="s">
        <v>108</v>
      </c>
      <c r="I3" s="59" t="s">
        <v>109</v>
      </c>
      <c r="J3" s="59" t="s">
        <v>110</v>
      </c>
      <c r="K3" s="59" t="s">
        <v>111</v>
      </c>
      <c r="L3" s="59" t="s">
        <v>112</v>
      </c>
      <c r="M3" s="59" t="s">
        <v>113</v>
      </c>
      <c r="N3" s="135" t="s">
        <v>64</v>
      </c>
    </row>
    <row r="4" spans="1:14" x14ac:dyDescent="0.25">
      <c r="A4" s="6">
        <v>1</v>
      </c>
      <c r="B4" s="31" t="s">
        <v>18</v>
      </c>
      <c r="C4" s="32">
        <f>'Данные по МКД-6'!B4</f>
        <v>711462.40000000002</v>
      </c>
      <c r="D4" s="32">
        <f>'Данные по МКД-6'!C4</f>
        <v>256835.63</v>
      </c>
      <c r="E4" s="32">
        <f>'Данные по МКД-6'!D4</f>
        <v>231099.04</v>
      </c>
      <c r="F4" s="32">
        <f>'Данные по МКД-6'!E4</f>
        <v>190263.84</v>
      </c>
      <c r="G4" s="32">
        <f>'Данные по МКД-6'!F4</f>
        <v>217875.64</v>
      </c>
      <c r="H4" s="32">
        <f>'Данные по МКД-6'!G4</f>
        <v>178563.72</v>
      </c>
      <c r="I4" s="32">
        <f>'Данные по МКД-6'!H4</f>
        <v>275727.12</v>
      </c>
      <c r="J4" s="32">
        <f>'Данные по МКД-6'!I4</f>
        <v>262381.08</v>
      </c>
      <c r="K4" s="32">
        <f>'Данные по МКД-6'!J4</f>
        <v>0</v>
      </c>
      <c r="L4" s="32">
        <f>'Данные по МКД-6'!K4</f>
        <v>0</v>
      </c>
      <c r="M4" s="32">
        <f>'Данные по МКД-6'!L4</f>
        <v>0</v>
      </c>
      <c r="N4" s="136"/>
    </row>
    <row r="5" spans="1:14" x14ac:dyDescent="0.25">
      <c r="A5" s="6">
        <v>2</v>
      </c>
      <c r="B5" s="31" t="s">
        <v>27</v>
      </c>
      <c r="C5" s="32">
        <f>'Данные по МКД-6'!B5</f>
        <v>4185836.61</v>
      </c>
      <c r="D5" s="32">
        <f>'Данные по МКД-6'!C5</f>
        <v>1577149.24</v>
      </c>
      <c r="E5" s="32">
        <f>'Данные по МКД-6'!D5</f>
        <v>747874.14</v>
      </c>
      <c r="F5" s="32">
        <f>'Данные по МКД-6'!E5</f>
        <v>615728.4</v>
      </c>
      <c r="G5" s="32">
        <f>'Данные по МКД-6'!F5</f>
        <v>705078.8</v>
      </c>
      <c r="H5" s="32">
        <f>'Данные по МКД-6'!G5</f>
        <v>577860.93999999994</v>
      </c>
      <c r="I5" s="32">
        <f>'Данные по МКД-6'!H5</f>
        <v>892304.4</v>
      </c>
      <c r="J5" s="32">
        <f>'Данные по МКД-6'!I5</f>
        <v>849114</v>
      </c>
      <c r="K5" s="32">
        <f>'Данные по МКД-6'!J5</f>
        <v>0</v>
      </c>
      <c r="L5" s="32">
        <f>'Данные по МКД-6'!K5</f>
        <v>7195785.5599999996</v>
      </c>
      <c r="M5" s="32">
        <f>'Данные по МКД-6'!L5</f>
        <v>3701387.6</v>
      </c>
      <c r="N5" s="136"/>
    </row>
    <row r="6" spans="1:14" x14ac:dyDescent="0.25">
      <c r="A6" s="6">
        <v>3</v>
      </c>
      <c r="B6" s="31" t="s">
        <v>17</v>
      </c>
      <c r="C6" s="32">
        <f>'Данные по МКД-6'!B6</f>
        <v>0</v>
      </c>
      <c r="D6" s="32">
        <f>'Данные по МКД-6'!C6</f>
        <v>0</v>
      </c>
      <c r="E6" s="32">
        <f>'Данные по МКД-6'!D6</f>
        <v>321679.54000000004</v>
      </c>
      <c r="F6" s="32">
        <f>'Данные по МКД-6'!E6</f>
        <v>263197.32</v>
      </c>
      <c r="G6" s="32">
        <f>'Данные по МКД-6'!F6</f>
        <v>300255.42</v>
      </c>
      <c r="H6" s="32">
        <f>'Данные по МКД-6'!G6</f>
        <v>248136.9</v>
      </c>
      <c r="I6" s="32">
        <f>'Данные по МКД-6'!H6</f>
        <v>383804.28</v>
      </c>
      <c r="J6" s="32">
        <f>'Данные по МКД-6'!I6</f>
        <v>365226.12</v>
      </c>
      <c r="K6" s="32">
        <f>'Данные по МКД-6'!J6</f>
        <v>0</v>
      </c>
      <c r="L6" s="32">
        <f>'Данные по МКД-6'!K6</f>
        <v>0</v>
      </c>
      <c r="M6" s="32">
        <f>'Данные по МКД-6'!L6</f>
        <v>0</v>
      </c>
      <c r="N6" s="136"/>
    </row>
    <row r="7" spans="1:14" x14ac:dyDescent="0.25">
      <c r="A7" s="6">
        <v>4</v>
      </c>
      <c r="B7" s="31" t="s">
        <v>20</v>
      </c>
      <c r="C7" s="32">
        <f>'Данные по МКД-6'!B7</f>
        <v>0</v>
      </c>
      <c r="D7" s="32">
        <f>'Данные по МКД-6'!C7</f>
        <v>0</v>
      </c>
      <c r="E7" s="32">
        <f>'Данные по МКД-6'!D7</f>
        <v>0</v>
      </c>
      <c r="F7" s="32">
        <f>'Данные по МКД-6'!E7</f>
        <v>0</v>
      </c>
      <c r="G7" s="32">
        <f>'Данные по МКД-6'!F7</f>
        <v>0</v>
      </c>
      <c r="H7" s="32">
        <f>'Данные по МКД-6'!G7</f>
        <v>0</v>
      </c>
      <c r="I7" s="32">
        <f>'Данные по МКД-6'!H7</f>
        <v>0</v>
      </c>
      <c r="J7" s="32">
        <f>'Данные по МКД-6'!I7</f>
        <v>0</v>
      </c>
      <c r="K7" s="32">
        <f>'Данные по МКД-6'!J7</f>
        <v>0</v>
      </c>
      <c r="L7" s="32">
        <f>'Данные по МКД-6'!K7</f>
        <v>0</v>
      </c>
      <c r="M7" s="32">
        <f>'Данные по МКД-6'!L7</f>
        <v>0</v>
      </c>
      <c r="N7" s="136"/>
    </row>
    <row r="8" spans="1:14" x14ac:dyDescent="0.25">
      <c r="A8" s="6">
        <v>5</v>
      </c>
      <c r="B8" s="31" t="s">
        <v>21</v>
      </c>
      <c r="C8" s="32">
        <f>'Данные по МКД-6'!B8</f>
        <v>1276336.79</v>
      </c>
      <c r="D8" s="32">
        <f>'Данные по МКД-6'!C8</f>
        <v>460757.86</v>
      </c>
      <c r="E8" s="32">
        <f>'Данные по МКД-6'!D8</f>
        <v>16322.1</v>
      </c>
      <c r="F8" s="32">
        <f>'Данные по МКД-6'!E8</f>
        <v>14664.12</v>
      </c>
      <c r="G8" s="32">
        <f>'Данные по МКД-6'!F8</f>
        <v>390861.96</v>
      </c>
      <c r="H8" s="32">
        <f>'Данные по МКД-6'!G8</f>
        <v>320337.23</v>
      </c>
      <c r="I8" s="32">
        <f>'Данные по МКД-6'!H8</f>
        <v>494649.72</v>
      </c>
      <c r="J8" s="32">
        <f>'Данные по МКД-6'!I8</f>
        <v>470706.12</v>
      </c>
      <c r="K8" s="32">
        <f>'Данные по МКД-6'!J8</f>
        <v>0</v>
      </c>
      <c r="L8" s="32">
        <f>'Данные по МКД-6'!K8</f>
        <v>0</v>
      </c>
      <c r="M8" s="32">
        <f>'Данные по МКД-6'!L8</f>
        <v>0</v>
      </c>
      <c r="N8" s="136"/>
    </row>
    <row r="9" spans="1:14" ht="14.45" customHeight="1" x14ac:dyDescent="0.25">
      <c r="A9" s="6">
        <v>6</v>
      </c>
      <c r="B9" s="31" t="s">
        <v>26</v>
      </c>
      <c r="C9" s="32">
        <f>'Данные по МКД-6'!B9</f>
        <v>0</v>
      </c>
      <c r="D9" s="32">
        <f>'Данные по МКД-6'!C9</f>
        <v>0</v>
      </c>
      <c r="E9" s="32">
        <f>'Данные по МКД-6'!D9</f>
        <v>0</v>
      </c>
      <c r="F9" s="32">
        <f>'Данные по МКД-6'!E9</f>
        <v>0</v>
      </c>
      <c r="G9" s="32">
        <f>'Данные по МКД-6'!F9</f>
        <v>0</v>
      </c>
      <c r="H9" s="32">
        <f>'Данные по МКД-6'!G9</f>
        <v>0</v>
      </c>
      <c r="I9" s="32">
        <f>'Данные по МКД-6'!H9</f>
        <v>0</v>
      </c>
      <c r="J9" s="32">
        <f>'Данные по МКД-6'!I9</f>
        <v>0</v>
      </c>
      <c r="K9" s="32">
        <f>'Данные по МКД-6'!J9</f>
        <v>0</v>
      </c>
      <c r="L9" s="32">
        <f>'Данные по МКД-6'!K9</f>
        <v>0</v>
      </c>
      <c r="M9" s="32">
        <f>'Данные по МКД-6'!L9</f>
        <v>0</v>
      </c>
      <c r="N9" s="136"/>
    </row>
    <row r="10" spans="1:14" ht="14.45" customHeight="1" x14ac:dyDescent="0.25">
      <c r="A10" s="6">
        <v>7</v>
      </c>
      <c r="B10" s="31" t="s">
        <v>25</v>
      </c>
      <c r="C10" s="32">
        <f>'Данные по МКД-6'!B10</f>
        <v>0</v>
      </c>
      <c r="D10" s="32">
        <f>'Данные по МКД-6'!C10</f>
        <v>0</v>
      </c>
      <c r="E10" s="32">
        <f>'Данные по МКД-6'!D10</f>
        <v>0</v>
      </c>
      <c r="F10" s="32">
        <f>'Данные по МКД-6'!E10</f>
        <v>0</v>
      </c>
      <c r="G10" s="32">
        <f>'Данные по МКД-6'!F10</f>
        <v>0</v>
      </c>
      <c r="H10" s="32">
        <f>'Данные по МКД-6'!G10</f>
        <v>0</v>
      </c>
      <c r="I10" s="32">
        <f>'Данные по МКД-6'!H10</f>
        <v>0</v>
      </c>
      <c r="J10" s="32">
        <f>'Данные по МКД-6'!I10</f>
        <v>0</v>
      </c>
      <c r="K10" s="32">
        <f>'Данные по МКД-6'!J10</f>
        <v>0</v>
      </c>
      <c r="L10" s="32">
        <f>'Данные по МКД-6'!K10</f>
        <v>0</v>
      </c>
      <c r="M10" s="32">
        <f>'Данные по МКД-6'!L10</f>
        <v>0</v>
      </c>
      <c r="N10" s="136"/>
    </row>
    <row r="11" spans="1:14" x14ac:dyDescent="0.25">
      <c r="A11" s="6">
        <v>8</v>
      </c>
      <c r="B11" s="31" t="s">
        <v>16</v>
      </c>
      <c r="C11" s="32">
        <f>'Данные по МКД-6'!B11</f>
        <v>0</v>
      </c>
      <c r="D11" s="32">
        <f>'Данные по МКД-6'!C11</f>
        <v>0</v>
      </c>
      <c r="E11" s="32">
        <f>'Данные по МКД-6'!D11</f>
        <v>0</v>
      </c>
      <c r="F11" s="32">
        <f>'Данные по МКД-6'!E11</f>
        <v>0</v>
      </c>
      <c r="G11" s="32">
        <f>'Данные по МКД-6'!F11</f>
        <v>0</v>
      </c>
      <c r="H11" s="32">
        <f>'Данные по МКД-6'!G11</f>
        <v>0</v>
      </c>
      <c r="I11" s="32">
        <f>'Данные по МКД-6'!H11</f>
        <v>0</v>
      </c>
      <c r="J11" s="32">
        <f>'Данные по МКД-6'!I11</f>
        <v>0</v>
      </c>
      <c r="K11" s="32">
        <f>'Данные по МКД-6'!J11</f>
        <v>0</v>
      </c>
      <c r="L11" s="32">
        <f>'Данные по МКД-6'!K11</f>
        <v>0</v>
      </c>
      <c r="M11" s="32">
        <f>'Данные по МКД-6'!L11</f>
        <v>0</v>
      </c>
      <c r="N11" s="136"/>
    </row>
    <row r="12" spans="1:14" x14ac:dyDescent="0.25">
      <c r="A12" s="6">
        <v>9</v>
      </c>
      <c r="B12" s="31" t="s">
        <v>15</v>
      </c>
      <c r="C12" s="32">
        <f>'Данные по МКД-6'!B12</f>
        <v>986500.8</v>
      </c>
      <c r="D12" s="32">
        <f>'Данные по МКД-6'!C12</f>
        <v>442687.15</v>
      </c>
      <c r="E12" s="32">
        <f>'Данные по МКД-6'!D12</f>
        <v>379285.1</v>
      </c>
      <c r="F12" s="32">
        <f>'Данные по МКД-6'!E12</f>
        <v>313854.12</v>
      </c>
      <c r="G12" s="32">
        <f>'Данные по МКД-6'!F12</f>
        <v>346991.88</v>
      </c>
      <c r="H12" s="32">
        <f>'Данные по МКД-6'!G12</f>
        <v>292038.59999999998</v>
      </c>
      <c r="I12" s="32">
        <f>'Данные по МКД-6'!H12</f>
        <v>454436.76</v>
      </c>
      <c r="J12" s="32">
        <f>'Данные по МКД-6'!I12</f>
        <v>431448.84</v>
      </c>
      <c r="K12" s="32">
        <f>'Данные по МКД-6'!J12</f>
        <v>0</v>
      </c>
      <c r="L12" s="32">
        <f>'Данные по МКД-6'!K12</f>
        <v>0</v>
      </c>
      <c r="M12" s="32">
        <f>'Данные по МКД-6'!L12</f>
        <v>0</v>
      </c>
      <c r="N12" s="136"/>
    </row>
    <row r="13" spans="1:14" x14ac:dyDescent="0.25">
      <c r="A13" s="6">
        <v>10</v>
      </c>
      <c r="B13" s="31" t="s">
        <v>24</v>
      </c>
      <c r="C13" s="32">
        <f>'Данные по МКД-6'!B13</f>
        <v>359133.78</v>
      </c>
      <c r="D13" s="32">
        <f>'Данные по МКД-6'!C13</f>
        <v>156170.01</v>
      </c>
      <c r="E13" s="32">
        <f>'Данные по МКД-6'!D13</f>
        <v>56079.479999999996</v>
      </c>
      <c r="F13" s="32">
        <f>'Данные по МКД-6'!E13</f>
        <v>45300.32</v>
      </c>
      <c r="G13" s="32">
        <f>'Данные по МКД-6'!F13</f>
        <v>115834.59</v>
      </c>
      <c r="H13" s="32">
        <f>'Данные по МКД-6'!G13</f>
        <v>97950.95</v>
      </c>
      <c r="I13" s="32">
        <f>'Данные по МКД-6'!H13</f>
        <v>157889.38999999998</v>
      </c>
      <c r="J13" s="32">
        <f>'Данные по МКД-6'!I13</f>
        <v>150971.5</v>
      </c>
      <c r="K13" s="32">
        <f>'Данные по МКД-6'!J13</f>
        <v>0</v>
      </c>
      <c r="L13" s="32">
        <f>'Данные по МКД-6'!K13</f>
        <v>0</v>
      </c>
      <c r="M13" s="32">
        <f>'Данные по МКД-6'!L13</f>
        <v>0</v>
      </c>
      <c r="N13" s="136"/>
    </row>
    <row r="14" spans="1:14" x14ac:dyDescent="0.25">
      <c r="A14" s="6">
        <v>11</v>
      </c>
      <c r="B14" s="31" t="s">
        <v>23</v>
      </c>
      <c r="C14" s="32">
        <f>'Данные по МКД-6'!B14</f>
        <v>0</v>
      </c>
      <c r="D14" s="32">
        <f>'Данные по МКД-6'!C14</f>
        <v>0</v>
      </c>
      <c r="E14" s="32">
        <f>'Данные по МКД-6'!D14</f>
        <v>0</v>
      </c>
      <c r="F14" s="32">
        <f>'Данные по МКД-6'!E14</f>
        <v>0</v>
      </c>
      <c r="G14" s="32">
        <f>'Данные по МКД-6'!F14</f>
        <v>0</v>
      </c>
      <c r="H14" s="32">
        <f>'Данные по МКД-6'!G14</f>
        <v>0</v>
      </c>
      <c r="I14" s="32">
        <f>'Данные по МКД-6'!H14</f>
        <v>0</v>
      </c>
      <c r="J14" s="32">
        <f>'Данные по МКД-6'!I14</f>
        <v>0</v>
      </c>
      <c r="K14" s="32">
        <f>'Данные по МКД-6'!J14</f>
        <v>0</v>
      </c>
      <c r="L14" s="32">
        <f>'Данные по МКД-6'!K14</f>
        <v>0</v>
      </c>
      <c r="M14" s="32">
        <f>'Данные по МКД-6'!L14</f>
        <v>0</v>
      </c>
      <c r="N14" s="136"/>
    </row>
    <row r="15" spans="1:14" x14ac:dyDescent="0.25">
      <c r="A15" s="6">
        <v>12</v>
      </c>
      <c r="B15" s="31" t="s">
        <v>22</v>
      </c>
      <c r="C15" s="32">
        <f>'Данные по МКД-6'!B15</f>
        <v>0</v>
      </c>
      <c r="D15" s="32">
        <f>'Данные по МКД-6'!C15</f>
        <v>0</v>
      </c>
      <c r="E15" s="32">
        <f>'Данные по МКД-6'!D15</f>
        <v>0</v>
      </c>
      <c r="F15" s="32">
        <f>'Данные по МКД-6'!E15</f>
        <v>0</v>
      </c>
      <c r="G15" s="32">
        <f>'Данные по МКД-6'!F15</f>
        <v>0</v>
      </c>
      <c r="H15" s="32">
        <f>'Данные по МКД-6'!G15</f>
        <v>0</v>
      </c>
      <c r="I15" s="32">
        <f>'Данные по МКД-6'!H15</f>
        <v>0</v>
      </c>
      <c r="J15" s="32">
        <f>'Данные по МКД-6'!I15</f>
        <v>0</v>
      </c>
      <c r="K15" s="32">
        <f>'Данные по МКД-6'!J15</f>
        <v>0</v>
      </c>
      <c r="L15" s="32">
        <f>'Данные по МКД-6'!K15</f>
        <v>0</v>
      </c>
      <c r="M15" s="32">
        <f>'Данные по МКД-6'!L15</f>
        <v>0</v>
      </c>
      <c r="N15" s="136"/>
    </row>
    <row r="16" spans="1:14" ht="14.45" customHeight="1" x14ac:dyDescent="0.25">
      <c r="A16" s="6">
        <v>13</v>
      </c>
      <c r="B16" s="61" t="s">
        <v>19</v>
      </c>
      <c r="C16" s="32">
        <f>'Данные по МКД-6'!B16</f>
        <v>1122532.3899999999</v>
      </c>
      <c r="D16" s="32">
        <f>'Данные по МКД-6'!C16</f>
        <v>405257.79</v>
      </c>
      <c r="E16" s="32">
        <f>'Данные по МКД-6'!D16</f>
        <v>364646.46</v>
      </c>
      <c r="F16" s="32">
        <f>'Данные по МКД-6'!E16</f>
        <v>300215.40000000002</v>
      </c>
      <c r="G16" s="32">
        <f>'Данные по МКД-6'!F16</f>
        <v>343780.28</v>
      </c>
      <c r="H16" s="32">
        <f>'Данные по МКД-6'!G16</f>
        <v>281751.96000000002</v>
      </c>
      <c r="I16" s="32">
        <f>'Данные по МКД-6'!H16</f>
        <v>435066.96</v>
      </c>
      <c r="J16" s="32">
        <f>'Данные по МКД-6'!I16</f>
        <v>414009</v>
      </c>
      <c r="K16" s="32">
        <f>'Данные по МКД-6'!J16</f>
        <v>0</v>
      </c>
      <c r="L16" s="32">
        <f>'Данные по МКД-6'!K16</f>
        <v>0</v>
      </c>
      <c r="M16" s="32">
        <f>'Данные по МКД-6'!L16</f>
        <v>0</v>
      </c>
      <c r="N16" s="136"/>
    </row>
    <row r="17" spans="1:14" s="134" customFormat="1" x14ac:dyDescent="0.25">
      <c r="A17" s="36">
        <v>14</v>
      </c>
      <c r="B17" s="61" t="str">
        <f>'Данные по МКД-6'!A17</f>
        <v>Эксплуатация ОПУ</v>
      </c>
      <c r="C17" s="32">
        <f>'Данные по МКД-6'!B17</f>
        <v>273195.88</v>
      </c>
      <c r="D17" s="32">
        <f>'Данные по МКД-6'!C17</f>
        <v>116156.70999999999</v>
      </c>
      <c r="E17" s="32">
        <f>'Данные по МКД-6'!D17</f>
        <v>104229.09</v>
      </c>
      <c r="F17" s="32">
        <f>'Данные по МКД-6'!E17</f>
        <v>83190.509999999995</v>
      </c>
      <c r="G17" s="32">
        <f>'Данные по МКД-6'!F17</f>
        <v>1830.6</v>
      </c>
      <c r="H17" s="32">
        <f>'Данные по МКД-6'!G17</f>
        <v>1009.32</v>
      </c>
      <c r="I17" s="32">
        <f>'Данные по МКД-6'!H17</f>
        <v>630</v>
      </c>
      <c r="J17" s="32">
        <f>'Данные по МКД-6'!I17</f>
        <v>0</v>
      </c>
      <c r="K17" s="32">
        <f>'Данные по МКД-6'!J17</f>
        <v>0</v>
      </c>
      <c r="L17" s="32">
        <f>'Данные по МКД-6'!K17</f>
        <v>0</v>
      </c>
      <c r="M17" s="32">
        <f>'Данные по МКД-6'!L17</f>
        <v>0</v>
      </c>
      <c r="N17" s="137">
        <f>SUM(N4:N16)-SUM('Данные по МКД-6'!M4:M16)</f>
        <v>-37153097.149999999</v>
      </c>
    </row>
    <row r="18" spans="1:14" s="134" customFormat="1" x14ac:dyDescent="0.25">
      <c r="A18" s="36">
        <v>15</v>
      </c>
      <c r="B18" s="61" t="str">
        <f>'Данные по МКД-6'!A18</f>
        <v>текущий ремонт</v>
      </c>
      <c r="C18" s="32">
        <f>'Данные по МКД-6'!B18</f>
        <v>1219054.29</v>
      </c>
      <c r="D18" s="32">
        <f>'Данные по МКД-6'!C18</f>
        <v>440108.61</v>
      </c>
      <c r="E18" s="32">
        <f>'Данные по МКД-6'!D18</f>
        <v>396002</v>
      </c>
      <c r="F18" s="32">
        <f>'Данные по МКД-6'!E18</f>
        <v>326031.84000000003</v>
      </c>
      <c r="G18" s="32">
        <f>'Данные по МКД-6'!F18</f>
        <v>373343.48</v>
      </c>
      <c r="H18" s="32">
        <f>'Данные по МКД-6'!G18</f>
        <v>305979.58</v>
      </c>
      <c r="I18" s="32">
        <f>'Данные по МКД-6'!H18</f>
        <v>472483.08</v>
      </c>
      <c r="J18" s="32">
        <f>'Данные по МКД-6'!I18</f>
        <v>449611.92</v>
      </c>
      <c r="K18" s="32">
        <f>'Данные по МКД-6'!J18</f>
        <v>0</v>
      </c>
      <c r="L18" s="32">
        <f>'Данные по МКД-6'!K18</f>
        <v>0</v>
      </c>
      <c r="M18" s="32">
        <f>'Данные по МКД-6'!L18</f>
        <v>0</v>
      </c>
      <c r="N18" s="137">
        <f>SUM(N5:N17)-SUM('Данные по МКД-6'!M5:M17)</f>
        <v>-71981985.829999998</v>
      </c>
    </row>
    <row r="19" spans="1:14" s="134" customFormat="1" x14ac:dyDescent="0.25">
      <c r="A19" s="36">
        <v>16</v>
      </c>
      <c r="B19" s="61" t="str">
        <f>'Данные по МКД-6'!A19</f>
        <v>Содержание ПЗУ</v>
      </c>
      <c r="C19" s="32">
        <f>'Данные по МКД-6'!B19</f>
        <v>287883.69</v>
      </c>
      <c r="D19" s="32">
        <f>'Данные по МКД-6'!C19</f>
        <v>125194.04000000001</v>
      </c>
      <c r="E19" s="32">
        <f>'Данные по МКД-6'!D19</f>
        <v>0</v>
      </c>
      <c r="F19" s="32">
        <f>'Данные по МКД-6'!E19</f>
        <v>0</v>
      </c>
      <c r="G19" s="32">
        <f>'Данные по МКД-6'!F19</f>
        <v>98131.32</v>
      </c>
      <c r="H19" s="32">
        <f>'Данные по МКД-6'!G19</f>
        <v>82464.42</v>
      </c>
      <c r="I19" s="32">
        <f>'Данные по МКД-6'!H19</f>
        <v>133587.24</v>
      </c>
      <c r="J19" s="32">
        <f>'Данные по МКД-6'!I19</f>
        <v>127896.12000000001</v>
      </c>
      <c r="K19" s="32">
        <f>'Данные по МКД-6'!J19</f>
        <v>0</v>
      </c>
      <c r="L19" s="32">
        <f>'Данные по МКД-6'!K19</f>
        <v>0</v>
      </c>
      <c r="M19" s="32">
        <f>'Данные по МКД-6'!L19</f>
        <v>0</v>
      </c>
      <c r="N19" s="137">
        <f>SUM(N6:N18)-SUM('Данные по МКД-6'!M6:M18)</f>
        <v>-122915851.96999998</v>
      </c>
    </row>
    <row r="20" spans="1:14" s="134" customFormat="1" x14ac:dyDescent="0.25">
      <c r="A20" s="36">
        <v>17</v>
      </c>
      <c r="B20" s="61" t="str">
        <f>'Данные по МКД-6'!A20</f>
        <v>Уборка лестничных клеток</v>
      </c>
      <c r="C20" s="32">
        <f>'Данные по МКД-6'!B20</f>
        <v>0</v>
      </c>
      <c r="D20" s="32">
        <f>'Данные по МКД-6'!C20</f>
        <v>0</v>
      </c>
      <c r="E20" s="32">
        <f>'Данные по МКД-6'!D20</f>
        <v>200656.08</v>
      </c>
      <c r="F20" s="32">
        <f>'Данные по МКД-6'!E20</f>
        <v>164704.32000000001</v>
      </c>
      <c r="G20" s="32">
        <f>'Данные по МКД-6'!F20</f>
        <v>182094.48</v>
      </c>
      <c r="H20" s="32">
        <f>'Данные по МКД-6'!G20</f>
        <v>153256.32000000001</v>
      </c>
      <c r="I20" s="32">
        <f>'Данные по МКД-6'!H20</f>
        <v>247890.24</v>
      </c>
      <c r="J20" s="32">
        <f>'Данные по МКД-6'!I20</f>
        <v>237330</v>
      </c>
      <c r="K20" s="32">
        <f>'Данные по МКД-6'!J20</f>
        <v>0</v>
      </c>
      <c r="L20" s="32">
        <f>'Данные по МКД-6'!K20</f>
        <v>0</v>
      </c>
      <c r="M20" s="32">
        <f>'Данные по МКД-6'!L20</f>
        <v>0</v>
      </c>
      <c r="N20" s="137">
        <f>SUM(N7:N19)-SUM('Данные по МКД-6'!M7:M19)</f>
        <v>-243949404.35999998</v>
      </c>
    </row>
    <row r="21" spans="1:14" s="134" customFormat="1" x14ac:dyDescent="0.25">
      <c r="A21" s="36">
        <v>18</v>
      </c>
      <c r="B21" s="61" t="str">
        <f>'Данные по МКД-6'!A21</f>
        <v>Содержание ИТП</v>
      </c>
      <c r="C21" s="32">
        <f>'Данные по МКД-6'!B21</f>
        <v>0</v>
      </c>
      <c r="D21" s="32">
        <f>'Данные по МКД-6'!C21</f>
        <v>0</v>
      </c>
      <c r="E21" s="32">
        <f>'Данные по МКД-6'!D21</f>
        <v>146313.28999999998</v>
      </c>
      <c r="F21" s="32">
        <f>'Данные по МКД-6'!E21</f>
        <v>116208.84</v>
      </c>
      <c r="G21" s="32">
        <f>'Данные по МКД-6'!F21</f>
        <v>0</v>
      </c>
      <c r="H21" s="32">
        <f>'Данные по МКД-6'!G21</f>
        <v>0</v>
      </c>
      <c r="I21" s="32">
        <f>'Данные по МКД-6'!H21</f>
        <v>766.5</v>
      </c>
      <c r="J21" s="32">
        <f>'Данные по МКД-6'!I21</f>
        <v>0</v>
      </c>
      <c r="K21" s="32">
        <f>'Данные по МКД-6'!J21</f>
        <v>0</v>
      </c>
      <c r="L21" s="32">
        <f>'Данные по МКД-6'!K21</f>
        <v>0</v>
      </c>
      <c r="M21" s="32">
        <f>'Данные по МКД-6'!L21</f>
        <v>0</v>
      </c>
      <c r="N21" s="137">
        <f>SUM(N8:N20)-SUM('Данные по МКД-6'!M8:M20)</f>
        <v>-487898808.71999997</v>
      </c>
    </row>
    <row r="22" spans="1:14" s="134" customFormat="1" x14ac:dyDescent="0.25">
      <c r="A22" s="36"/>
      <c r="B22" s="97" t="s">
        <v>128</v>
      </c>
      <c r="C22" s="96">
        <f>SUM(C4:C21)</f>
        <v>10421936.630000001</v>
      </c>
      <c r="D22" s="96">
        <f t="shared" ref="D22:M22" si="0">SUM(D4:D21)</f>
        <v>3980317.0399999996</v>
      </c>
      <c r="E22" s="96">
        <f t="shared" si="0"/>
        <v>2964186.3200000003</v>
      </c>
      <c r="F22" s="96">
        <f t="shared" si="0"/>
        <v>2433359.0300000003</v>
      </c>
      <c r="G22" s="96">
        <f t="shared" si="0"/>
        <v>3076078.45</v>
      </c>
      <c r="H22" s="96">
        <f t="shared" si="0"/>
        <v>2539349.94</v>
      </c>
      <c r="I22" s="96">
        <f t="shared" si="0"/>
        <v>3949235.6900000004</v>
      </c>
      <c r="J22" s="96">
        <f t="shared" si="0"/>
        <v>3758694.7</v>
      </c>
      <c r="K22" s="96">
        <f t="shared" si="0"/>
        <v>0</v>
      </c>
      <c r="L22" s="96">
        <f t="shared" si="0"/>
        <v>7195785.5599999996</v>
      </c>
      <c r="M22" s="96">
        <f t="shared" si="0"/>
        <v>3701387.6</v>
      </c>
      <c r="N22" s="137">
        <f>SUM(N9:N21)-SUM('Данные по МКД-6'!M9:M21)</f>
        <v>-972616270.16999996</v>
      </c>
    </row>
    <row r="23" spans="1:14" x14ac:dyDescent="0.25">
      <c r="C23" s="126">
        <f>C22-'Данные по МКД-6'!B22</f>
        <v>0</v>
      </c>
      <c r="D23" s="126">
        <f>D22-'Данные по МКД-6'!C22</f>
        <v>0</v>
      </c>
      <c r="E23" s="126">
        <f>E22-'Данные по МКД-6'!D22</f>
        <v>0</v>
      </c>
      <c r="F23" s="126">
        <f>F22-'Данные по МКД-6'!E22</f>
        <v>0</v>
      </c>
      <c r="G23" s="126">
        <f>G22-'Данные по МКД-6'!F22</f>
        <v>0</v>
      </c>
      <c r="H23" s="126">
        <f>H22-'Данные по МКД-6'!G22</f>
        <v>0</v>
      </c>
      <c r="I23" s="126">
        <f>I22-'Данные по МКД-6'!H22</f>
        <v>0</v>
      </c>
      <c r="J23" s="126">
        <f>J22-'Данные по МКД-6'!I22</f>
        <v>0</v>
      </c>
      <c r="K23" s="126">
        <f>K22-'Данные по МКД-6'!J22</f>
        <v>0</v>
      </c>
      <c r="L23" s="126">
        <f>L22-'Данные по МКД-6'!K22</f>
        <v>0</v>
      </c>
      <c r="M23" s="126">
        <f>M22-'Данные по МКД-6'!L22</f>
        <v>0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6" sqref="I26"/>
    </sheetView>
  </sheetViews>
  <sheetFormatPr defaultColWidth="18.140625" defaultRowHeight="15" outlineLevelCol="1" x14ac:dyDescent="0.25"/>
  <cols>
    <col min="1" max="1" width="3.140625" customWidth="1"/>
    <col min="2" max="2" width="66" customWidth="1"/>
    <col min="3" max="3" width="14.42578125" customWidth="1"/>
    <col min="4" max="4" width="13.85546875" customWidth="1"/>
    <col min="5" max="8" width="13.42578125" customWidth="1"/>
    <col min="9" max="9" width="16" customWidth="1"/>
    <col min="10" max="10" width="13.42578125" customWidth="1"/>
    <col min="11" max="11" width="15.140625" customWidth="1"/>
    <col min="12" max="12" width="16.85546875" customWidth="1"/>
    <col min="13" max="13" width="13.42578125" customWidth="1"/>
    <col min="14" max="14" width="16.28515625" customWidth="1"/>
    <col min="15" max="15" width="12" style="19" hidden="1" customWidth="1" outlineLevel="1"/>
    <col min="16" max="16" width="8.140625" style="48" hidden="1" customWidth="1" outlineLevel="1"/>
    <col min="17" max="17" width="8.140625" hidden="1" customWidth="1" outlineLevel="1"/>
    <col min="18" max="18" width="8.140625" customWidth="1" collapsed="1"/>
    <col min="19" max="45" width="8.140625" customWidth="1"/>
  </cols>
  <sheetData>
    <row r="1" spans="1:17" x14ac:dyDescent="0.25">
      <c r="B1" s="4" t="s">
        <v>68</v>
      </c>
      <c r="C1" s="99" t="s">
        <v>63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138"/>
    </row>
    <row r="2" spans="1:17" ht="60" x14ac:dyDescent="0.25">
      <c r="B2" s="60" t="s">
        <v>50</v>
      </c>
      <c r="C2" s="59" t="s">
        <v>92</v>
      </c>
      <c r="D2" s="59" t="s">
        <v>93</v>
      </c>
      <c r="E2" s="59" t="s">
        <v>94</v>
      </c>
      <c r="F2" s="59" t="s">
        <v>95</v>
      </c>
      <c r="G2" s="59" t="s">
        <v>96</v>
      </c>
      <c r="H2" s="59" t="s">
        <v>97</v>
      </c>
      <c r="I2" s="59" t="s">
        <v>98</v>
      </c>
      <c r="J2" s="59" t="s">
        <v>99</v>
      </c>
      <c r="K2" s="59" t="s">
        <v>100</v>
      </c>
      <c r="L2" s="59" t="s">
        <v>101</v>
      </c>
      <c r="M2" s="59" t="s">
        <v>102</v>
      </c>
      <c r="N2" s="135" t="s">
        <v>64</v>
      </c>
    </row>
    <row r="3" spans="1:17" ht="14.45" customHeight="1" x14ac:dyDescent="0.25">
      <c r="A3" s="6">
        <v>1</v>
      </c>
      <c r="B3" s="1" t="s">
        <v>0</v>
      </c>
      <c r="C3" s="39">
        <v>80371.42</v>
      </c>
      <c r="D3" s="38">
        <v>12532.85</v>
      </c>
      <c r="E3" s="38">
        <v>21826.76</v>
      </c>
      <c r="F3" s="38">
        <v>7106.24</v>
      </c>
      <c r="G3" s="38">
        <v>41816.699999999997</v>
      </c>
      <c r="H3" s="38">
        <v>7711.91</v>
      </c>
      <c r="I3" s="38">
        <v>49618.82</v>
      </c>
      <c r="J3" s="38">
        <v>47007.12</v>
      </c>
      <c r="K3" s="38"/>
      <c r="L3" s="38">
        <v>46374.17</v>
      </c>
      <c r="M3" s="38">
        <v>4122.4799999999996</v>
      </c>
      <c r="N3" s="139">
        <f>SUM(C3:M3)</f>
        <v>318488.46999999997</v>
      </c>
    </row>
    <row r="4" spans="1:17" ht="14.45" customHeight="1" x14ac:dyDescent="0.25">
      <c r="A4" s="6">
        <v>2</v>
      </c>
      <c r="B4" s="1" t="s">
        <v>1</v>
      </c>
      <c r="C4" s="39"/>
      <c r="D4" s="38"/>
      <c r="E4" s="38"/>
      <c r="F4" s="38"/>
      <c r="G4" s="38"/>
      <c r="H4" s="38"/>
      <c r="I4" s="38"/>
      <c r="J4" s="38"/>
      <c r="K4" s="38"/>
      <c r="L4" s="38"/>
      <c r="M4" s="38"/>
      <c r="N4" s="139">
        <f t="shared" ref="N4:N35" si="0">SUM(C4:M4)</f>
        <v>0</v>
      </c>
    </row>
    <row r="5" spans="1:17" ht="14.45" customHeight="1" x14ac:dyDescent="0.25">
      <c r="A5" s="6">
        <v>3</v>
      </c>
      <c r="B5" s="1" t="s">
        <v>2</v>
      </c>
      <c r="C5" s="39">
        <v>2347295.4500000002</v>
      </c>
      <c r="D5" s="38">
        <v>625423.32999999996</v>
      </c>
      <c r="E5" s="38">
        <v>577277.55000000005</v>
      </c>
      <c r="F5" s="38">
        <v>334030.40999999997</v>
      </c>
      <c r="G5" s="38">
        <v>474948.3</v>
      </c>
      <c r="H5" s="38">
        <v>518220.01</v>
      </c>
      <c r="I5" s="38">
        <v>519573.11</v>
      </c>
      <c r="J5" s="38">
        <v>478866.1</v>
      </c>
      <c r="K5" s="38"/>
      <c r="L5" s="38">
        <v>861287.93</v>
      </c>
      <c r="M5" s="38">
        <v>498645.59</v>
      </c>
      <c r="N5" s="139">
        <f t="shared" si="0"/>
        <v>7235567.7799999993</v>
      </c>
      <c r="O5" s="21"/>
      <c r="P5" s="48" t="s">
        <v>72</v>
      </c>
      <c r="Q5" s="48" t="s">
        <v>90</v>
      </c>
    </row>
    <row r="6" spans="1:17" ht="32.450000000000003" customHeight="1" x14ac:dyDescent="0.25">
      <c r="A6" s="6">
        <v>4</v>
      </c>
      <c r="B6" s="2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139">
        <f t="shared" si="0"/>
        <v>0</v>
      </c>
    </row>
    <row r="7" spans="1:17" ht="14.45" customHeight="1" x14ac:dyDescent="0.25">
      <c r="A7" s="6"/>
      <c r="B7" s="1" t="str">
        <f>'Данные по МКД-6'!A4</f>
        <v>Работы (услуги) по управлению многоквартирным домом</v>
      </c>
      <c r="C7" s="39">
        <f>'Данные по МКД-6'!B4</f>
        <v>711462.40000000002</v>
      </c>
      <c r="D7" s="39">
        <f>'Данные по МКД-6'!C4</f>
        <v>256835.63</v>
      </c>
      <c r="E7" s="39">
        <f>'Данные по МКД-6'!D4</f>
        <v>231099.04</v>
      </c>
      <c r="F7" s="39">
        <f>'Данные по МКД-6'!E4</f>
        <v>190263.84</v>
      </c>
      <c r="G7" s="39">
        <f>'Данные по МКД-6'!F4</f>
        <v>217875.64</v>
      </c>
      <c r="H7" s="39">
        <f>'Данные по МКД-6'!G4</f>
        <v>178563.72</v>
      </c>
      <c r="I7" s="39">
        <f>'Данные по МКД-6'!H4</f>
        <v>275727.12</v>
      </c>
      <c r="J7" s="39">
        <f>'Данные по МКД-6'!I4</f>
        <v>262381.08</v>
      </c>
      <c r="K7" s="39">
        <f>'Данные по МКД-6'!J4</f>
        <v>0</v>
      </c>
      <c r="L7" s="39">
        <f>'Данные по МКД-6'!K4</f>
        <v>0</v>
      </c>
      <c r="M7" s="39">
        <f>'Данные по МКД-6'!L4</f>
        <v>0</v>
      </c>
      <c r="N7" s="139">
        <f t="shared" si="0"/>
        <v>2324208.4700000002</v>
      </c>
      <c r="Q7" s="48" t="s">
        <v>90</v>
      </c>
    </row>
    <row r="8" spans="1:17" ht="14.45" customHeight="1" x14ac:dyDescent="0.25">
      <c r="A8" s="6"/>
      <c r="B8" s="1" t="str">
        <f>'Данные по МКД-6'!A5</f>
        <v>Работы по содержанию помещений, входящих в состав общего имущества в многоквартирном доме</v>
      </c>
      <c r="C8" s="39">
        <f>'Данные по МКД-6'!B5</f>
        <v>4185836.61</v>
      </c>
      <c r="D8" s="39">
        <f>'Данные по МКД-6'!C5</f>
        <v>1577149.24</v>
      </c>
      <c r="E8" s="39">
        <f>'Данные по МКД-6'!D5</f>
        <v>747874.14</v>
      </c>
      <c r="F8" s="39">
        <f>'Данные по МКД-6'!E5</f>
        <v>615728.4</v>
      </c>
      <c r="G8" s="39">
        <f>'Данные по МКД-6'!F5</f>
        <v>705078.8</v>
      </c>
      <c r="H8" s="39">
        <f>'Данные по МКД-6'!G5</f>
        <v>577860.93999999994</v>
      </c>
      <c r="I8" s="39">
        <f>'Данные по МКД-6'!H5</f>
        <v>892304.4</v>
      </c>
      <c r="J8" s="39">
        <f>'Данные по МКД-6'!I5</f>
        <v>849114</v>
      </c>
      <c r="K8" s="39">
        <f>'Данные по МКД-6'!J5</f>
        <v>0</v>
      </c>
      <c r="L8" s="39">
        <f>'Данные по МКД-6'!K5</f>
        <v>7195785.5599999996</v>
      </c>
      <c r="M8" s="39">
        <f>'Данные по МКД-6'!L5</f>
        <v>3701387.6</v>
      </c>
      <c r="N8" s="139">
        <f t="shared" si="0"/>
        <v>21048119.690000001</v>
      </c>
      <c r="Q8" s="48" t="s">
        <v>90</v>
      </c>
    </row>
    <row r="9" spans="1:17" ht="14.45" customHeight="1" x14ac:dyDescent="0.25">
      <c r="A9" s="6"/>
      <c r="B9" s="1" t="str">
        <f>'Данные по МКД-6'!A6</f>
        <v>Работы по обеспечению вывоза бытовых отходов</v>
      </c>
      <c r="C9" s="39">
        <f>'Данные по МКД-6'!B6</f>
        <v>0</v>
      </c>
      <c r="D9" s="39">
        <f>'Данные по МКД-6'!C6</f>
        <v>0</v>
      </c>
      <c r="E9" s="39">
        <f>'Данные по МКД-6'!D6</f>
        <v>321679.54000000004</v>
      </c>
      <c r="F9" s="39">
        <f>'Данные по МКД-6'!E6</f>
        <v>263197.32</v>
      </c>
      <c r="G9" s="39">
        <f>'Данные по МКД-6'!F6</f>
        <v>300255.42</v>
      </c>
      <c r="H9" s="39">
        <f>'Данные по МКД-6'!G6</f>
        <v>248136.9</v>
      </c>
      <c r="I9" s="39">
        <f>'Данные по МКД-6'!H6</f>
        <v>383804.28</v>
      </c>
      <c r="J9" s="39">
        <f>'Данные по МКД-6'!I6</f>
        <v>365226.12</v>
      </c>
      <c r="K9" s="39">
        <f>'Данные по МКД-6'!J6</f>
        <v>0</v>
      </c>
      <c r="L9" s="39">
        <f>'Данные по МКД-6'!K6</f>
        <v>0</v>
      </c>
      <c r="M9" s="39">
        <f>'Данные по МКД-6'!L6</f>
        <v>0</v>
      </c>
      <c r="N9" s="139">
        <f t="shared" si="0"/>
        <v>1882299.58</v>
      </c>
      <c r="Q9" s="48" t="s">
        <v>90</v>
      </c>
    </row>
    <row r="10" spans="1:17" ht="14.45" customHeight="1" x14ac:dyDescent="0.25">
      <c r="A10" s="6"/>
      <c r="B10" s="1" t="str">
        <f>'Данные по МКД-6'!A7</f>
        <v>Проведение дератизации и дезинсекции помещений, входящих в состав общего имущества в многоквартирном доме</v>
      </c>
      <c r="C10" s="39">
        <f>'Данные по МКД-6'!B7</f>
        <v>0</v>
      </c>
      <c r="D10" s="39">
        <f>'Данные по МКД-6'!C7</f>
        <v>0</v>
      </c>
      <c r="E10" s="39">
        <f>'Данные по МКД-6'!D7</f>
        <v>0</v>
      </c>
      <c r="F10" s="39">
        <f>'Данные по МКД-6'!E7</f>
        <v>0</v>
      </c>
      <c r="G10" s="39">
        <f>'Данные по МКД-6'!F7</f>
        <v>0</v>
      </c>
      <c r="H10" s="39">
        <f>'Данные по МКД-6'!G7</f>
        <v>0</v>
      </c>
      <c r="I10" s="39">
        <f>'Данные по МКД-6'!H7</f>
        <v>0</v>
      </c>
      <c r="J10" s="39">
        <f>'Данные по МКД-6'!I7</f>
        <v>0</v>
      </c>
      <c r="K10" s="39">
        <f>'Данные по МКД-6'!J7</f>
        <v>0</v>
      </c>
      <c r="L10" s="39">
        <f>'Данные по МКД-6'!K7</f>
        <v>0</v>
      </c>
      <c r="M10" s="39">
        <f>'Данные по МКД-6'!L7</f>
        <v>0</v>
      </c>
      <c r="N10" s="139"/>
      <c r="Q10" s="48"/>
    </row>
    <row r="11" spans="1:17" ht="14.45" customHeight="1" x14ac:dyDescent="0.25">
      <c r="A11" s="6"/>
      <c r="B11" s="1" t="str">
        <f>'Данные по МКД-6'!A8</f>
        <v>Обеспечение устранения аварий на внутридомовых инженерных системах в многоквартирном доме</v>
      </c>
      <c r="C11" s="39">
        <f>'Данные по МКД-6'!B8</f>
        <v>1276336.79</v>
      </c>
      <c r="D11" s="39">
        <f>'Данные по МКД-6'!C8</f>
        <v>460757.86</v>
      </c>
      <c r="E11" s="39">
        <f>'Данные по МКД-6'!D8</f>
        <v>16322.1</v>
      </c>
      <c r="F11" s="39">
        <f>'Данные по МКД-6'!E8</f>
        <v>14664.12</v>
      </c>
      <c r="G11" s="39">
        <f>'Данные по МКД-6'!F8</f>
        <v>390861.96</v>
      </c>
      <c r="H11" s="39">
        <f>'Данные по МКД-6'!G8</f>
        <v>320337.23</v>
      </c>
      <c r="I11" s="39">
        <f>'Данные по МКД-6'!H8</f>
        <v>494649.72</v>
      </c>
      <c r="J11" s="39">
        <f>'Данные по МКД-6'!I8</f>
        <v>470706.12</v>
      </c>
      <c r="K11" s="39">
        <f>'Данные по МКД-6'!J8</f>
        <v>0</v>
      </c>
      <c r="L11" s="39">
        <f>'Данные по МКД-6'!K8</f>
        <v>0</v>
      </c>
      <c r="M11" s="39">
        <f>'Данные по МКД-6'!L8</f>
        <v>0</v>
      </c>
      <c r="N11" s="139"/>
      <c r="Q11" s="48"/>
    </row>
    <row r="12" spans="1:17" ht="14.45" customHeight="1" x14ac:dyDescent="0.25">
      <c r="A12" s="6"/>
      <c r="B12" s="1" t="str">
        <f>'Данные по МКД-6'!A9</f>
        <v>Работы по содержанию и ремонту конструктивных элементов (несущих конструкций и ненесущих конструкций) многоквартирных домов</v>
      </c>
      <c r="C12" s="39">
        <f>'Данные по МКД-6'!B9</f>
        <v>0</v>
      </c>
      <c r="D12" s="39">
        <f>'Данные по МКД-6'!C9</f>
        <v>0</v>
      </c>
      <c r="E12" s="39">
        <f>'Данные по МКД-6'!D9</f>
        <v>0</v>
      </c>
      <c r="F12" s="39">
        <f>'Данные по МКД-6'!E9</f>
        <v>0</v>
      </c>
      <c r="G12" s="39">
        <f>'Данные по МКД-6'!F9</f>
        <v>0</v>
      </c>
      <c r="H12" s="39">
        <f>'Данные по МКД-6'!G9</f>
        <v>0</v>
      </c>
      <c r="I12" s="39">
        <f>'Данные по МКД-6'!H9</f>
        <v>0</v>
      </c>
      <c r="J12" s="39">
        <f>'Данные по МКД-6'!I9</f>
        <v>0</v>
      </c>
      <c r="K12" s="39">
        <f>'Данные по МКД-6'!J9</f>
        <v>0</v>
      </c>
      <c r="L12" s="39">
        <f>'Данные по МКД-6'!K9</f>
        <v>0</v>
      </c>
      <c r="M12" s="39">
        <f>'Данные по МКД-6'!L9</f>
        <v>0</v>
      </c>
      <c r="N12" s="139"/>
      <c r="Q12" s="48"/>
    </row>
    <row r="13" spans="1:17" ht="14.45" customHeight="1" x14ac:dyDescent="0.25">
      <c r="A13" s="6"/>
      <c r="B13" s="1" t="str">
        <f>'Данные по МКД-6'!A10</f>
        <v>Работы по содержанию и ремонту оборудования и систем инженерно-технического обеспечения, входящих в состав общего имущества в многоквартирном доме (в т.ч. ОПУ)</v>
      </c>
      <c r="C13" s="39">
        <f>'Данные по МКД-6'!B10</f>
        <v>0</v>
      </c>
      <c r="D13" s="39">
        <f>'Данные по МКД-6'!C10</f>
        <v>0</v>
      </c>
      <c r="E13" s="39">
        <f>'Данные по МКД-6'!D10</f>
        <v>0</v>
      </c>
      <c r="F13" s="39">
        <f>'Данные по МКД-6'!E10</f>
        <v>0</v>
      </c>
      <c r="G13" s="39">
        <f>'Данные по МКД-6'!F10</f>
        <v>0</v>
      </c>
      <c r="H13" s="39">
        <f>'Данные по МКД-6'!G10</f>
        <v>0</v>
      </c>
      <c r="I13" s="39">
        <f>'Данные по МКД-6'!H10</f>
        <v>0</v>
      </c>
      <c r="J13" s="39">
        <f>'Данные по МКД-6'!I10</f>
        <v>0</v>
      </c>
      <c r="K13" s="39">
        <f>'Данные по МКД-6'!J10</f>
        <v>0</v>
      </c>
      <c r="L13" s="39">
        <f>'Данные по МКД-6'!K10</f>
        <v>0</v>
      </c>
      <c r="M13" s="39">
        <f>'Данные по МКД-6'!L10</f>
        <v>0</v>
      </c>
      <c r="N13" s="139"/>
      <c r="Q13" s="48"/>
    </row>
    <row r="14" spans="1:17" ht="14.45" customHeight="1" x14ac:dyDescent="0.25">
      <c r="A14" s="6"/>
      <c r="B14" s="1" t="str">
        <f>'Данные по МКД-6'!A11</f>
        <v>Работы по содержанию и ремонту мусоропроводов в многоквартирном доме</v>
      </c>
      <c r="C14" s="39">
        <f>'Данные по МКД-6'!B11</f>
        <v>0</v>
      </c>
      <c r="D14" s="39">
        <f>'Данные по МКД-6'!C11</f>
        <v>0</v>
      </c>
      <c r="E14" s="39">
        <f>'Данные по МКД-6'!D11</f>
        <v>0</v>
      </c>
      <c r="F14" s="39">
        <f>'Данные по МКД-6'!E11</f>
        <v>0</v>
      </c>
      <c r="G14" s="39">
        <f>'Данные по МКД-6'!F11</f>
        <v>0</v>
      </c>
      <c r="H14" s="39">
        <f>'Данные по МКД-6'!G11</f>
        <v>0</v>
      </c>
      <c r="I14" s="39">
        <f>'Данные по МКД-6'!H11</f>
        <v>0</v>
      </c>
      <c r="J14" s="39">
        <f>'Данные по МКД-6'!I11</f>
        <v>0</v>
      </c>
      <c r="K14" s="39">
        <f>'Данные по МКД-6'!J11</f>
        <v>0</v>
      </c>
      <c r="L14" s="39">
        <f>'Данные по МКД-6'!K11</f>
        <v>0</v>
      </c>
      <c r="M14" s="39">
        <f>'Данные по МКД-6'!L11</f>
        <v>0</v>
      </c>
      <c r="N14" s="139"/>
      <c r="Q14" s="48"/>
    </row>
    <row r="15" spans="1:17" ht="14.45" customHeight="1" x14ac:dyDescent="0.25">
      <c r="A15" s="6"/>
      <c r="B15" s="1" t="str">
        <f>'Данные по МКД-6'!A12</f>
        <v>Работы по содержанию и ремонту лифта (лифтов) в многоквартирном доме</v>
      </c>
      <c r="C15" s="39">
        <f>'Данные по МКД-6'!B12</f>
        <v>986500.8</v>
      </c>
      <c r="D15" s="39">
        <f>'Данные по МКД-6'!C12</f>
        <v>442687.15</v>
      </c>
      <c r="E15" s="39">
        <f>'Данные по МКД-6'!D12</f>
        <v>379285.1</v>
      </c>
      <c r="F15" s="39">
        <f>'Данные по МКД-6'!E12</f>
        <v>313854.12</v>
      </c>
      <c r="G15" s="39">
        <f>'Данные по МКД-6'!F12</f>
        <v>346991.88</v>
      </c>
      <c r="H15" s="39">
        <f>'Данные по МКД-6'!G12</f>
        <v>292038.59999999998</v>
      </c>
      <c r="I15" s="39">
        <f>'Данные по МКД-6'!H12</f>
        <v>454436.76</v>
      </c>
      <c r="J15" s="39">
        <f>'Данные по МКД-6'!I12</f>
        <v>431448.84</v>
      </c>
      <c r="K15" s="39">
        <f>'Данные по МКД-6'!J12</f>
        <v>0</v>
      </c>
      <c r="L15" s="39">
        <f>'Данные по МКД-6'!K12</f>
        <v>0</v>
      </c>
      <c r="M15" s="39">
        <f>'Данные по МКД-6'!L12</f>
        <v>0</v>
      </c>
      <c r="N15" s="139"/>
      <c r="Q15" s="48"/>
    </row>
    <row r="16" spans="1:17" ht="14.45" customHeight="1" x14ac:dyDescent="0.25">
      <c r="A16" s="6"/>
      <c r="B16" s="1" t="str">
        <f>'Данные по МКД-6'!A13</f>
        <v>Работы по обеспечению требований пожарной безопасности</v>
      </c>
      <c r="C16" s="39">
        <f>'Данные по МКД-6'!B13</f>
        <v>359133.78</v>
      </c>
      <c r="D16" s="39">
        <f>'Данные по МКД-6'!C13</f>
        <v>156170.01</v>
      </c>
      <c r="E16" s="39">
        <f>'Данные по МКД-6'!D13</f>
        <v>56079.479999999996</v>
      </c>
      <c r="F16" s="39">
        <f>'Данные по МКД-6'!E13</f>
        <v>45300.32</v>
      </c>
      <c r="G16" s="39">
        <f>'Данные по МКД-6'!F13</f>
        <v>115834.59</v>
      </c>
      <c r="H16" s="39">
        <f>'Данные по МКД-6'!G13</f>
        <v>97950.95</v>
      </c>
      <c r="I16" s="39">
        <f>'Данные по МКД-6'!H13</f>
        <v>157889.38999999998</v>
      </c>
      <c r="J16" s="39">
        <f>'Данные по МКД-6'!I13</f>
        <v>150971.5</v>
      </c>
      <c r="K16" s="39">
        <f>'Данные по МКД-6'!J13</f>
        <v>0</v>
      </c>
      <c r="L16" s="39">
        <f>'Данные по МКД-6'!K13</f>
        <v>0</v>
      </c>
      <c r="M16" s="39">
        <f>'Данные по МКД-6'!L13</f>
        <v>0</v>
      </c>
      <c r="N16" s="139"/>
      <c r="Q16" s="48"/>
    </row>
    <row r="17" spans="1:17" ht="14.45" customHeight="1" x14ac:dyDescent="0.25">
      <c r="A17" s="6"/>
      <c r="B17" s="1" t="str">
        <f>'Данные по МКД-6'!A14</f>
        <v>Работы по содержанию и ремонту систем дымоудаления и вентиляции</v>
      </c>
      <c r="C17" s="39">
        <f>'Данные по МКД-6'!B14</f>
        <v>0</v>
      </c>
      <c r="D17" s="39">
        <f>'Данные по МКД-6'!C14</f>
        <v>0</v>
      </c>
      <c r="E17" s="39">
        <f>'Данные по МКД-6'!D14</f>
        <v>0</v>
      </c>
      <c r="F17" s="39">
        <f>'Данные по МКД-6'!E14</f>
        <v>0</v>
      </c>
      <c r="G17" s="39">
        <f>'Данные по МКД-6'!F14</f>
        <v>0</v>
      </c>
      <c r="H17" s="39">
        <f>'Данные по МКД-6'!G14</f>
        <v>0</v>
      </c>
      <c r="I17" s="39">
        <f>'Данные по МКД-6'!H14</f>
        <v>0</v>
      </c>
      <c r="J17" s="39">
        <f>'Данные по МКД-6'!I14</f>
        <v>0</v>
      </c>
      <c r="K17" s="39">
        <f>'Данные по МКД-6'!J14</f>
        <v>0</v>
      </c>
      <c r="L17" s="39">
        <f>'Данные по МКД-6'!K14</f>
        <v>0</v>
      </c>
      <c r="M17" s="39">
        <f>'Данные по МКД-6'!L14</f>
        <v>0</v>
      </c>
      <c r="N17" s="139"/>
      <c r="Q17" s="48"/>
    </row>
    <row r="18" spans="1:17" ht="14.45" customHeight="1" x14ac:dyDescent="0.25">
      <c r="A18" s="6"/>
      <c r="B18" s="1" t="str">
        <f>'Данные по МКД-6'!A15</f>
        <v>Работы по содержанию и ремонту систем внутридомового газового оборудования</v>
      </c>
      <c r="C18" s="39">
        <f>'Данные по МКД-6'!B15</f>
        <v>0</v>
      </c>
      <c r="D18" s="39">
        <f>'Данные по МКД-6'!C15</f>
        <v>0</v>
      </c>
      <c r="E18" s="39">
        <f>'Данные по МКД-6'!D15</f>
        <v>0</v>
      </c>
      <c r="F18" s="39">
        <f>'Данные по МКД-6'!E15</f>
        <v>0</v>
      </c>
      <c r="G18" s="39">
        <f>'Данные по МКД-6'!F15</f>
        <v>0</v>
      </c>
      <c r="H18" s="39">
        <f>'Данные по МКД-6'!G15</f>
        <v>0</v>
      </c>
      <c r="I18" s="39">
        <f>'Данные по МКД-6'!H15</f>
        <v>0</v>
      </c>
      <c r="J18" s="39">
        <f>'Данные по МКД-6'!I15</f>
        <v>0</v>
      </c>
      <c r="K18" s="39">
        <f>'Данные по МКД-6'!J15</f>
        <v>0</v>
      </c>
      <c r="L18" s="39">
        <f>'Данные по МКД-6'!K15</f>
        <v>0</v>
      </c>
      <c r="M18" s="39">
        <f>'Данные по МКД-6'!L15</f>
        <v>0</v>
      </c>
      <c r="N18" s="139"/>
      <c r="Q18" s="48"/>
    </row>
    <row r="19" spans="1:17" ht="14.45" customHeight="1" x14ac:dyDescent="0.25">
      <c r="A19" s="6"/>
      <c r="B19" s="1" t="str">
        <f>'Данные по МКД-6'!A16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C19" s="39">
        <f>'Данные по МКД-6'!B16</f>
        <v>1122532.3899999999</v>
      </c>
      <c r="D19" s="39">
        <f>'Данные по МКД-6'!C16</f>
        <v>405257.79</v>
      </c>
      <c r="E19" s="39">
        <f>'Данные по МКД-6'!D16</f>
        <v>364646.46</v>
      </c>
      <c r="F19" s="39">
        <f>'Данные по МКД-6'!E16</f>
        <v>300215.40000000002</v>
      </c>
      <c r="G19" s="39">
        <f>'Данные по МКД-6'!F16</f>
        <v>343780.28</v>
      </c>
      <c r="H19" s="39">
        <f>'Данные по МКД-6'!G16</f>
        <v>281751.96000000002</v>
      </c>
      <c r="I19" s="39">
        <f>'Данные по МКД-6'!H16</f>
        <v>435066.96</v>
      </c>
      <c r="J19" s="39">
        <f>'Данные по МКД-6'!I16</f>
        <v>414009</v>
      </c>
      <c r="K19" s="39">
        <f>'Данные по МКД-6'!J16</f>
        <v>0</v>
      </c>
      <c r="L19" s="39">
        <f>'Данные по МКД-6'!K16</f>
        <v>0</v>
      </c>
      <c r="M19" s="39">
        <f>'Данные по МКД-6'!L16</f>
        <v>0</v>
      </c>
      <c r="N19" s="139"/>
      <c r="Q19" s="48"/>
    </row>
    <row r="20" spans="1:17" ht="14.45" customHeight="1" x14ac:dyDescent="0.25">
      <c r="A20" s="6"/>
      <c r="B20" s="1" t="str">
        <f>'Данные по МКД-6'!A17</f>
        <v>Эксплуатация ОПУ</v>
      </c>
      <c r="C20" s="39">
        <f>'Данные по МКД-6'!B17</f>
        <v>273195.88</v>
      </c>
      <c r="D20" s="39">
        <f>'Данные по МКД-6'!C17</f>
        <v>116156.70999999999</v>
      </c>
      <c r="E20" s="39">
        <f>'Данные по МКД-6'!D17</f>
        <v>104229.09</v>
      </c>
      <c r="F20" s="39">
        <f>'Данные по МКД-6'!E17</f>
        <v>83190.509999999995</v>
      </c>
      <c r="G20" s="39">
        <f>'Данные по МКД-6'!F17</f>
        <v>1830.6</v>
      </c>
      <c r="H20" s="39">
        <f>'Данные по МКД-6'!G17</f>
        <v>1009.32</v>
      </c>
      <c r="I20" s="39">
        <f>'Данные по МКД-6'!H21</f>
        <v>766.5</v>
      </c>
      <c r="J20" s="39">
        <f>'Данные по МКД-6'!I21</f>
        <v>0</v>
      </c>
      <c r="K20" s="39">
        <f>'Данные по МКД-6'!J21</f>
        <v>0</v>
      </c>
      <c r="L20" s="39">
        <f>'Данные по МКД-6'!K21</f>
        <v>0</v>
      </c>
      <c r="M20" s="39">
        <f>'Данные по МКД-6'!L21</f>
        <v>0</v>
      </c>
      <c r="N20" s="139"/>
      <c r="Q20" s="48"/>
    </row>
    <row r="21" spans="1:17" ht="14.45" customHeight="1" x14ac:dyDescent="0.25">
      <c r="A21" s="6"/>
      <c r="B21" s="1" t="str">
        <f>'Данные по МКД-6'!A18</f>
        <v>текущий ремонт</v>
      </c>
      <c r="C21" s="39">
        <f>'Данные по МКД-6'!B18</f>
        <v>1219054.29</v>
      </c>
      <c r="D21" s="39">
        <f>'Данные по МКД-6'!C18</f>
        <v>440108.61</v>
      </c>
      <c r="E21" s="39">
        <f>'Данные по МКД-6'!D18</f>
        <v>396002</v>
      </c>
      <c r="F21" s="39">
        <f>'Данные по МКД-6'!E18</f>
        <v>326031.84000000003</v>
      </c>
      <c r="G21" s="39">
        <f>'Данные по МКД-6'!F18</f>
        <v>373343.48</v>
      </c>
      <c r="H21" s="39">
        <f>'Данные по МКД-6'!G18</f>
        <v>305979.58</v>
      </c>
      <c r="I21" s="39">
        <f>'Данные по МКД-6'!H22</f>
        <v>3949235.6900000004</v>
      </c>
      <c r="J21" s="39">
        <f>'Данные по МКД-6'!I22</f>
        <v>3758694.7</v>
      </c>
      <c r="K21" s="39">
        <f>'Данные по МКД-6'!J22</f>
        <v>0</v>
      </c>
      <c r="L21" s="39">
        <f>'Данные по МКД-6'!K22</f>
        <v>7195785.5599999996</v>
      </c>
      <c r="M21" s="39">
        <f>'Данные по МКД-6'!L22</f>
        <v>3701387.6</v>
      </c>
      <c r="N21" s="139"/>
      <c r="Q21" s="48"/>
    </row>
    <row r="22" spans="1:17" ht="14.45" customHeight="1" x14ac:dyDescent="0.25">
      <c r="A22" s="6"/>
      <c r="B22" s="1" t="str">
        <f>'Данные по МКД-6'!A19</f>
        <v>Содержание ПЗУ</v>
      </c>
      <c r="C22" s="39">
        <f>'Данные по МКД-6'!B19</f>
        <v>287883.69</v>
      </c>
      <c r="D22" s="39">
        <f>'Данные по МКД-6'!C19</f>
        <v>125194.04000000001</v>
      </c>
      <c r="E22" s="39">
        <f>'Данные по МКД-6'!D19</f>
        <v>0</v>
      </c>
      <c r="F22" s="39">
        <f>'Данные по МКД-6'!E19</f>
        <v>0</v>
      </c>
      <c r="G22" s="39">
        <f>'Данные по МКД-6'!F19</f>
        <v>98131.32</v>
      </c>
      <c r="H22" s="39">
        <f>'Данные по МКД-6'!G19</f>
        <v>82464.42</v>
      </c>
      <c r="I22" s="39">
        <f>'Данные по МКД-6'!H23</f>
        <v>0</v>
      </c>
      <c r="J22" s="39">
        <f>'Данные по МКД-6'!I23</f>
        <v>0</v>
      </c>
      <c r="K22" s="39">
        <f>'Данные по МКД-6'!J23</f>
        <v>0</v>
      </c>
      <c r="L22" s="39">
        <f>'Данные по МКД-6'!K23</f>
        <v>0</v>
      </c>
      <c r="M22" s="39">
        <f>'Данные по МКД-6'!L23</f>
        <v>0</v>
      </c>
      <c r="N22" s="139"/>
      <c r="Q22" s="48"/>
    </row>
    <row r="23" spans="1:17" ht="14.45" customHeight="1" x14ac:dyDescent="0.25">
      <c r="A23" s="6"/>
      <c r="B23" s="1" t="str">
        <f>'Данные по МКД-6'!A20</f>
        <v>Уборка лестничных клеток</v>
      </c>
      <c r="C23" s="39">
        <f>'Данные по МКД-6'!B20</f>
        <v>0</v>
      </c>
      <c r="D23" s="39">
        <f>'Данные по МКД-6'!C20</f>
        <v>0</v>
      </c>
      <c r="E23" s="39">
        <f>'Данные по МКД-6'!D20</f>
        <v>200656.08</v>
      </c>
      <c r="F23" s="39">
        <f>'Данные по МКД-6'!E20</f>
        <v>164704.32000000001</v>
      </c>
      <c r="G23" s="39">
        <f>'Данные по МКД-6'!F20</f>
        <v>182094.48</v>
      </c>
      <c r="H23" s="39">
        <f>'Данные по МКД-6'!G20</f>
        <v>153256.32000000001</v>
      </c>
      <c r="I23" s="39">
        <f>'Данные по МКД-6'!H24</f>
        <v>0</v>
      </c>
      <c r="J23" s="39">
        <f>'Данные по МКД-6'!I24</f>
        <v>0</v>
      </c>
      <c r="K23" s="39">
        <f>'Данные по МКД-6'!J24</f>
        <v>0</v>
      </c>
      <c r="L23" s="39">
        <f>'Данные по МКД-6'!K24</f>
        <v>0</v>
      </c>
      <c r="M23" s="39">
        <f>'Данные по МКД-6'!L24</f>
        <v>0</v>
      </c>
      <c r="N23" s="139"/>
      <c r="Q23" s="48"/>
    </row>
    <row r="24" spans="1:17" ht="14.45" customHeight="1" x14ac:dyDescent="0.25">
      <c r="A24" s="6"/>
      <c r="B24" s="1"/>
      <c r="C24" s="39">
        <f>'Данные по МКД-6'!B21</f>
        <v>0</v>
      </c>
      <c r="D24" s="39">
        <f>'Данные по МКД-6'!C21</f>
        <v>0</v>
      </c>
      <c r="E24" s="39">
        <f>'Данные по МКД-6'!D21</f>
        <v>146313.28999999998</v>
      </c>
      <c r="F24" s="39">
        <f>'Данные по МКД-6'!E21</f>
        <v>116208.84</v>
      </c>
      <c r="G24" s="39">
        <f>'Данные по МКД-6'!F21</f>
        <v>0</v>
      </c>
      <c r="H24" s="39">
        <f>'Данные по МКД-6'!G21</f>
        <v>0</v>
      </c>
      <c r="I24" s="39">
        <f>'Данные по МКД-6'!H25</f>
        <v>0</v>
      </c>
      <c r="J24" s="39">
        <f>'Данные по МКД-6'!I25</f>
        <v>0</v>
      </c>
      <c r="K24" s="39">
        <f>'Данные по МКД-6'!J25</f>
        <v>0</v>
      </c>
      <c r="L24" s="39">
        <f>'Данные по МКД-6'!K25</f>
        <v>0</v>
      </c>
      <c r="M24" s="39">
        <f>'Данные по МКД-6'!L25</f>
        <v>0</v>
      </c>
      <c r="N24" s="139"/>
      <c r="Q24" s="48"/>
    </row>
    <row r="25" spans="1:17" ht="14.45" customHeight="1" x14ac:dyDescent="0.25">
      <c r="A25" s="6"/>
      <c r="B25" s="1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139"/>
      <c r="Q25" s="48"/>
    </row>
    <row r="26" spans="1:17" ht="14.45" customHeight="1" x14ac:dyDescent="0.25">
      <c r="A26" s="6">
        <v>5</v>
      </c>
      <c r="B26" s="2" t="s">
        <v>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39">
        <f t="shared" si="0"/>
        <v>0</v>
      </c>
    </row>
    <row r="27" spans="1:17" ht="14.45" customHeight="1" x14ac:dyDescent="0.25">
      <c r="A27" s="6"/>
      <c r="B27" s="1" t="s">
        <v>5</v>
      </c>
      <c r="C27" s="39">
        <v>7791090.8799999999</v>
      </c>
      <c r="D27" s="39">
        <v>3340894.61</v>
      </c>
      <c r="E27" s="39">
        <v>2746406.72</v>
      </c>
      <c r="F27" s="39">
        <v>2364808.91</v>
      </c>
      <c r="G27" s="39">
        <v>2968433.49</v>
      </c>
      <c r="H27" s="39">
        <v>2374838.66</v>
      </c>
      <c r="I27" s="39">
        <v>3643352.05</v>
      </c>
      <c r="J27" s="39">
        <v>3582537.49</v>
      </c>
      <c r="K27" s="39"/>
      <c r="L27" s="39">
        <v>6030750.3300000001</v>
      </c>
      <c r="M27" s="39">
        <v>3120764.97</v>
      </c>
      <c r="N27" s="139">
        <f t="shared" si="0"/>
        <v>37963878.109999999</v>
      </c>
      <c r="O27" s="21"/>
      <c r="Q27" s="48" t="s">
        <v>90</v>
      </c>
    </row>
    <row r="28" spans="1:17" ht="14.45" customHeight="1" x14ac:dyDescent="0.25">
      <c r="A28" s="6"/>
      <c r="B28" s="1" t="s">
        <v>6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39">
        <f t="shared" si="0"/>
        <v>0</v>
      </c>
    </row>
    <row r="29" spans="1:17" ht="14.45" customHeight="1" x14ac:dyDescent="0.25">
      <c r="A29" s="6"/>
      <c r="B29" s="1" t="s">
        <v>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39">
        <f t="shared" si="0"/>
        <v>0</v>
      </c>
    </row>
    <row r="30" spans="1:17" ht="14.45" customHeight="1" x14ac:dyDescent="0.25">
      <c r="A30" s="6"/>
      <c r="B30" s="1" t="s">
        <v>8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39">
        <f t="shared" si="0"/>
        <v>0</v>
      </c>
    </row>
    <row r="31" spans="1:17" ht="14.45" customHeight="1" x14ac:dyDescent="0.25">
      <c r="A31" s="6"/>
      <c r="B31" s="1" t="s">
        <v>9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139">
        <f t="shared" si="0"/>
        <v>0</v>
      </c>
    </row>
    <row r="32" spans="1:17" ht="14.45" customHeight="1" x14ac:dyDescent="0.25">
      <c r="A32" s="6">
        <v>6</v>
      </c>
      <c r="B32" s="1" t="s">
        <v>10</v>
      </c>
      <c r="C32" s="39">
        <f t="shared" ref="C32:K32" si="1">C27</f>
        <v>7791090.8799999999</v>
      </c>
      <c r="D32" s="39">
        <f t="shared" si="1"/>
        <v>3340894.61</v>
      </c>
      <c r="E32" s="39">
        <f t="shared" si="1"/>
        <v>2746406.72</v>
      </c>
      <c r="F32" s="39">
        <f t="shared" si="1"/>
        <v>2364808.91</v>
      </c>
      <c r="G32" s="39">
        <f t="shared" si="1"/>
        <v>2968433.49</v>
      </c>
      <c r="H32" s="39">
        <f t="shared" si="1"/>
        <v>2374838.66</v>
      </c>
      <c r="I32" s="39">
        <f t="shared" si="1"/>
        <v>3643352.05</v>
      </c>
      <c r="J32" s="39">
        <f t="shared" si="1"/>
        <v>3582537.49</v>
      </c>
      <c r="K32" s="39">
        <f t="shared" si="1"/>
        <v>0</v>
      </c>
      <c r="L32" s="39">
        <f>L27</f>
        <v>6030750.3300000001</v>
      </c>
      <c r="M32" s="39">
        <f>M27</f>
        <v>3120764.97</v>
      </c>
      <c r="N32" s="139">
        <f t="shared" si="0"/>
        <v>37963878.109999999</v>
      </c>
    </row>
    <row r="33" spans="1:17" ht="14.45" customHeight="1" x14ac:dyDescent="0.25">
      <c r="A33" s="6">
        <v>7</v>
      </c>
      <c r="B33" s="1" t="s">
        <v>11</v>
      </c>
      <c r="C33" s="39">
        <v>98297.82</v>
      </c>
      <c r="D33" s="38">
        <v>28653.65</v>
      </c>
      <c r="E33" s="38">
        <v>26364.080000000002</v>
      </c>
      <c r="F33" s="38">
        <v>23342.03</v>
      </c>
      <c r="G33" s="39">
        <v>26838.26</v>
      </c>
      <c r="H33" s="38">
        <v>6808.55</v>
      </c>
      <c r="I33" s="38">
        <v>51812.76</v>
      </c>
      <c r="J33" s="38">
        <v>26357.86</v>
      </c>
      <c r="K33" s="39"/>
      <c r="L33" s="38">
        <v>21353.79</v>
      </c>
      <c r="M33" s="38">
        <v>12092.96</v>
      </c>
      <c r="N33" s="139">
        <f t="shared" si="0"/>
        <v>321921.76</v>
      </c>
    </row>
    <row r="34" spans="1:17" ht="14.45" customHeight="1" x14ac:dyDescent="0.25">
      <c r="A34" s="6">
        <v>8</v>
      </c>
      <c r="B34" s="1" t="s">
        <v>12</v>
      </c>
      <c r="C34" s="39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139">
        <f t="shared" si="0"/>
        <v>0</v>
      </c>
    </row>
    <row r="35" spans="1:17" ht="14.45" customHeight="1" x14ac:dyDescent="0.25">
      <c r="A35" s="36">
        <v>9</v>
      </c>
      <c r="B35" s="1" t="s">
        <v>13</v>
      </c>
      <c r="C35" s="39">
        <v>4996067.5999999996</v>
      </c>
      <c r="D35" s="39">
        <v>1280966.56</v>
      </c>
      <c r="E35" s="39">
        <v>799594.48</v>
      </c>
      <c r="F35" s="39">
        <v>418816.31</v>
      </c>
      <c r="G35" s="6">
        <v>567614.82999999996</v>
      </c>
      <c r="H35" s="39">
        <v>681827.93</v>
      </c>
      <c r="I35" s="39">
        <v>827650.7</v>
      </c>
      <c r="J35" s="39">
        <v>634374.05000000005</v>
      </c>
      <c r="K35" s="6"/>
      <c r="L35" s="39">
        <v>2001302.77</v>
      </c>
      <c r="M35" s="39">
        <v>1087238.69</v>
      </c>
      <c r="N35" s="139">
        <f t="shared" si="0"/>
        <v>13295453.92</v>
      </c>
      <c r="O35" s="21"/>
      <c r="P35" s="48" t="s">
        <v>72</v>
      </c>
      <c r="Q35" s="48" t="s">
        <v>90</v>
      </c>
    </row>
    <row r="36" spans="1:17" s="19" customFormat="1" ht="11.25" x14ac:dyDescent="0.2">
      <c r="C36" s="131">
        <f>4800586-C35</f>
        <v>-195481.59999999963</v>
      </c>
      <c r="D36" s="131">
        <f>3450630-D35</f>
        <v>2169663.44</v>
      </c>
      <c r="E36" s="131">
        <f>2186782-E35</f>
        <v>1387187.52</v>
      </c>
      <c r="F36" s="131"/>
      <c r="G36" s="131">
        <f>391973-G33</f>
        <v>365134.74</v>
      </c>
      <c r="H36" s="131">
        <f>442173-H35</f>
        <v>-239654.93000000005</v>
      </c>
      <c r="I36" s="131"/>
      <c r="J36" s="131"/>
      <c r="K36" s="131"/>
      <c r="L36" s="131"/>
      <c r="M36" s="131"/>
      <c r="N36" s="131">
        <f>SUM(C36:M36)</f>
        <v>3486849.1700000004</v>
      </c>
      <c r="P36" s="19" t="s">
        <v>73</v>
      </c>
    </row>
    <row r="37" spans="1:17" x14ac:dyDescent="0.25"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7"/>
      <c r="N37" s="127"/>
    </row>
    <row r="38" spans="1:17" x14ac:dyDescent="0.25">
      <c r="C38" s="131">
        <f>C5-C3+'Данные по МКД-6'!B22-'Данные по МКД-1'!C27-'Данные по МКД-1'!C35+'Данные по МКД-1'!C33</f>
        <v>6.4028427004814148E-10</v>
      </c>
      <c r="D38" s="131">
        <f>D5-D3+'Данные по МКД-6'!C22-'Данные по МКД-1'!D27-'Данные по МКД-1'!D35+'Данные по МКД-1'!D33</f>
        <v>-3.7107383832335472E-10</v>
      </c>
      <c r="E38" s="131">
        <f>E5-E3+'Данные по МКД-6'!D22-'Данные по МКД-1'!E27-'Данные по МКД-1'!E35+'Данные по МКД-1'!E33</f>
        <v>-9.9999998492421582E-3</v>
      </c>
      <c r="F38" s="131">
        <f>F5-F3+'Данные по МКД-6'!E22-'Данные по МКД-1'!F27-'Данные по МКД-1'!F35+'Данные по МКД-1'!F33</f>
        <v>1.0000000038417056E-2</v>
      </c>
      <c r="G38" s="131">
        <f>G5-G3+'Данные по МКД-6'!F22-'Данные по МКД-1'!G27-'Данные по МКД-1'!G35+'Данные по МКД-1'!G33</f>
        <v>-9.9999999038118403E-3</v>
      </c>
      <c r="H38" s="131">
        <f>H5-H3+'Данные по МКД-6'!G22-'Данные по МКД-1'!H27-'Данные по МКД-1'!H35+'Данные по МКД-1'!H33</f>
        <v>-1.6279955161735415E-10</v>
      </c>
      <c r="I38" s="131">
        <f>I5-I3+'Данные по МКД-6'!H22-'Данные по МКД-1'!I27-'Данные по МКД-1'!I35+'Данные по МКД-1'!I33</f>
        <v>-9.9999993180972524E-3</v>
      </c>
      <c r="J38" s="131">
        <f>J5-J3+'Данные по МКД-6'!I22-'Данные по МКД-1'!J27-'Данные по МКД-1'!J35+'Данные по МКД-1'!J33</f>
        <v>-1.0186340659856796E-10</v>
      </c>
      <c r="K38" s="131">
        <f>K5-K3+'Данные по МКД-6'!J22-'Данные по МКД-1'!K27-'Данные по МКД-1'!K35+'Данные по МКД-1'!K33</f>
        <v>0</v>
      </c>
      <c r="L38" s="131">
        <f>L5-L3+'Данные по МКД-6'!K22-'Данные по МКД-1'!L27-'Данные по МКД-1'!L35+'Данные по МКД-1'!L33</f>
        <v>9.9999992744415067E-3</v>
      </c>
      <c r="M38" s="131">
        <f>M5-M3+'Данные по МКД-6'!L22-'Данные по МКД-1'!M27-'Данные по МКД-1'!M35+'Данные по МКД-1'!M33</f>
        <v>9.9999998128623702E-3</v>
      </c>
      <c r="N38" s="127"/>
    </row>
    <row r="39" spans="1:17" x14ac:dyDescent="0.25"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7" x14ac:dyDescent="0.25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7" x14ac:dyDescent="0.25"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7" x14ac:dyDescent="0.25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7" x14ac:dyDescent="0.25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7" x14ac:dyDescent="0.25"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</sheetData>
  <mergeCells count="1">
    <mergeCell ref="C1:N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7" sqref="H27"/>
    </sheetView>
  </sheetViews>
  <sheetFormatPr defaultRowHeight="15" x14ac:dyDescent="0.25"/>
  <cols>
    <col min="1" max="1" width="4.5703125" customWidth="1"/>
    <col min="2" max="2" width="60.28515625" customWidth="1"/>
    <col min="3" max="11" width="12.140625" customWidth="1"/>
    <col min="12" max="12" width="15.140625" customWidth="1"/>
    <col min="13" max="14" width="12.140625" customWidth="1"/>
    <col min="15" max="15" width="13.28515625" customWidth="1"/>
    <col min="16" max="16" width="8.85546875" customWidth="1"/>
  </cols>
  <sheetData>
    <row r="1" spans="1:16" x14ac:dyDescent="0.25">
      <c r="B1" s="4" t="s">
        <v>62</v>
      </c>
    </row>
    <row r="2" spans="1:16" ht="75" x14ac:dyDescent="0.25">
      <c r="B2" s="3" t="s">
        <v>33</v>
      </c>
      <c r="C2" s="59" t="s">
        <v>92</v>
      </c>
      <c r="D2" s="59" t="s">
        <v>93</v>
      </c>
      <c r="E2" s="59" t="s">
        <v>94</v>
      </c>
      <c r="F2" s="59" t="s">
        <v>95</v>
      </c>
      <c r="G2" s="59" t="s">
        <v>96</v>
      </c>
      <c r="H2" s="59" t="s">
        <v>97</v>
      </c>
      <c r="I2" s="59" t="s">
        <v>98</v>
      </c>
      <c r="J2" s="59" t="s">
        <v>99</v>
      </c>
      <c r="K2" s="59" t="s">
        <v>100</v>
      </c>
      <c r="L2" s="59" t="s">
        <v>101</v>
      </c>
      <c r="M2" s="59" t="s">
        <v>102</v>
      </c>
      <c r="N2" s="59"/>
      <c r="O2" s="11" t="s">
        <v>64</v>
      </c>
    </row>
    <row r="3" spans="1:16" ht="20.100000000000001" customHeight="1" x14ac:dyDescent="0.25">
      <c r="A3" s="6">
        <v>1</v>
      </c>
      <c r="B3" s="7" t="s">
        <v>0</v>
      </c>
      <c r="C3" s="51">
        <v>116445.94</v>
      </c>
      <c r="D3" s="51">
        <v>14389.57</v>
      </c>
      <c r="E3" s="51">
        <v>46363.199999999997</v>
      </c>
      <c r="F3" s="51">
        <v>13275.72</v>
      </c>
      <c r="G3" s="51">
        <v>77191.98</v>
      </c>
      <c r="H3" s="51">
        <v>14416</v>
      </c>
      <c r="I3" s="51">
        <v>94409.9</v>
      </c>
      <c r="J3" s="51">
        <v>88884.98</v>
      </c>
      <c r="K3" s="51"/>
      <c r="L3" s="51">
        <v>59659.75</v>
      </c>
      <c r="M3" s="51">
        <v>5003.3500000000004</v>
      </c>
      <c r="N3" s="51"/>
      <c r="O3" s="40">
        <f>SUM(C3:M3)</f>
        <v>530040.39</v>
      </c>
      <c r="P3" s="21"/>
    </row>
    <row r="4" spans="1:16" ht="28.5" x14ac:dyDescent="0.25">
      <c r="A4" s="6">
        <v>2</v>
      </c>
      <c r="B4" s="7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40">
        <f>SUM(C4:M4)</f>
        <v>0</v>
      </c>
      <c r="P4" s="21"/>
    </row>
    <row r="5" spans="1:16" x14ac:dyDescent="0.25">
      <c r="A5" s="6">
        <v>3</v>
      </c>
      <c r="B5" s="7" t="s">
        <v>2</v>
      </c>
      <c r="C5" s="51">
        <v>3400873.4</v>
      </c>
      <c r="D5" s="51">
        <v>718078.32</v>
      </c>
      <c r="E5" s="51">
        <v>1226221.3</v>
      </c>
      <c r="F5" s="51">
        <v>624028.30000000005</v>
      </c>
      <c r="G5" s="51">
        <v>876735.91</v>
      </c>
      <c r="H5" s="51">
        <v>968717.45</v>
      </c>
      <c r="I5" s="51">
        <v>988593.56</v>
      </c>
      <c r="J5" s="51">
        <v>905479.95</v>
      </c>
      <c r="K5" s="51"/>
      <c r="L5" s="51">
        <v>1108035.27</v>
      </c>
      <c r="M5" s="51">
        <v>605193.16</v>
      </c>
      <c r="N5" s="51"/>
      <c r="O5" s="40">
        <f>SUM(C5:M5)</f>
        <v>11421956.619999999</v>
      </c>
      <c r="P5" s="21"/>
    </row>
    <row r="6" spans="1:16" ht="28.5" x14ac:dyDescent="0.25">
      <c r="A6" s="6">
        <v>4</v>
      </c>
      <c r="B6" s="7" t="s">
        <v>11</v>
      </c>
      <c r="C6" s="51">
        <v>142418.54999999999</v>
      </c>
      <c r="D6" s="51">
        <v>32898.620000000003</v>
      </c>
      <c r="E6" s="51">
        <v>56001.14</v>
      </c>
      <c r="F6" s="51">
        <v>43607.06</v>
      </c>
      <c r="G6" s="51">
        <v>49542.38</v>
      </c>
      <c r="H6" s="51">
        <v>12727.33</v>
      </c>
      <c r="I6" s="51">
        <v>98584.320000000007</v>
      </c>
      <c r="J6" s="51">
        <v>49839.65</v>
      </c>
      <c r="K6" s="51"/>
      <c r="L6" s="51">
        <v>27471.360000000001</v>
      </c>
      <c r="M6" s="51">
        <v>14676.91</v>
      </c>
      <c r="N6" s="51"/>
      <c r="O6" s="40">
        <f>SUM(C6:M6)</f>
        <v>527767.32000000007</v>
      </c>
      <c r="P6" s="21"/>
    </row>
    <row r="7" spans="1:16" ht="28.5" x14ac:dyDescent="0.25">
      <c r="A7" s="6">
        <v>5</v>
      </c>
      <c r="B7" s="7" t="s">
        <v>12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40">
        <f t="shared" ref="O7:O13" si="0">SUM(C7:F7)</f>
        <v>0</v>
      </c>
      <c r="P7" s="21"/>
    </row>
    <row r="8" spans="1:16" x14ac:dyDescent="0.25">
      <c r="A8" s="6">
        <v>6</v>
      </c>
      <c r="B8" s="7" t="s">
        <v>13</v>
      </c>
      <c r="C8" s="51">
        <v>7238540.5999999996</v>
      </c>
      <c r="D8" s="51">
        <v>1470738.73</v>
      </c>
      <c r="E8" s="51">
        <v>1698454.71</v>
      </c>
      <c r="F8" s="51">
        <v>782423.48</v>
      </c>
      <c r="G8" s="51">
        <v>1047794.69</v>
      </c>
      <c r="H8" s="51">
        <v>1274552.52</v>
      </c>
      <c r="I8" s="51">
        <v>1574773.84</v>
      </c>
      <c r="J8" s="51">
        <v>1199527.3600000001</v>
      </c>
      <c r="K8" s="51"/>
      <c r="L8" s="51">
        <v>2574648.94</v>
      </c>
      <c r="M8" s="51">
        <v>1319553.29</v>
      </c>
      <c r="N8" s="51"/>
      <c r="O8" s="40">
        <f t="shared" si="0"/>
        <v>11190157.52</v>
      </c>
      <c r="P8" s="21"/>
    </row>
    <row r="9" spans="1:16" x14ac:dyDescent="0.25">
      <c r="A9" s="6"/>
      <c r="B9" s="7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0">
        <f t="shared" si="0"/>
        <v>0</v>
      </c>
      <c r="P9" s="21"/>
    </row>
    <row r="10" spans="1:16" x14ac:dyDescent="0.25">
      <c r="A10" s="6">
        <v>7</v>
      </c>
      <c r="B10" s="7" t="s">
        <v>29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0">
        <f t="shared" si="0"/>
        <v>0</v>
      </c>
      <c r="P10" s="21"/>
    </row>
    <row r="11" spans="1:16" x14ac:dyDescent="0.25">
      <c r="A11" s="6">
        <v>8</v>
      </c>
      <c r="B11" s="7" t="s">
        <v>30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0">
        <f t="shared" si="0"/>
        <v>0</v>
      </c>
      <c r="P11" s="21"/>
    </row>
    <row r="12" spans="1:16" ht="28.5" x14ac:dyDescent="0.25">
      <c r="A12" s="6">
        <v>9</v>
      </c>
      <c r="B12" s="7" t="s">
        <v>31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0">
        <f t="shared" si="0"/>
        <v>0</v>
      </c>
      <c r="P12" s="21"/>
    </row>
    <row r="13" spans="1:16" x14ac:dyDescent="0.25">
      <c r="A13" s="6">
        <v>10</v>
      </c>
      <c r="B13" s="7" t="s">
        <v>32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0">
        <f t="shared" si="0"/>
        <v>0</v>
      </c>
      <c r="P13" s="21"/>
    </row>
    <row r="14" spans="1:16" x14ac:dyDescent="0.25"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6" x14ac:dyDescent="0.25">
      <c r="C15" s="126">
        <f>C5-C3+'Данные по МКД-4'!B91-'Данные по МКД-4'!B95-'Данные по МКД-3'!C8+'Данные по МКД-3'!C6</f>
        <v>-1.0000000533182174E-2</v>
      </c>
      <c r="D15" s="126">
        <f>D5-D3+'Данные по МКД-4'!C91-'Данные по МКД-4'!C95-'Данные по МКД-3'!D8+'Данные по МКД-3'!D6</f>
        <v>1.0000000133004505E-2</v>
      </c>
      <c r="E15" s="126">
        <f>E5-E3+'Данные по МКД-4'!D91-'Данные по МКД-4'!D95-'Данные по МКД-3'!E8+'Данные по МКД-3'!E6</f>
        <v>2.9999999664141797E-2</v>
      </c>
      <c r="F15" s="126">
        <f>F5-F3+'Данные по МКД-4'!E91-'Данные по МКД-4'!E95-'Данные по МКД-3'!F8+'Данные по МКД-3'!F6</f>
        <v>-9.9999989033676684E-3</v>
      </c>
      <c r="G15" s="126">
        <f>G5-G3+'Данные по МКД-4'!F91-'Данные по МКД-4'!F95-'Данные по МКД-3'!G8+'Данные по МКД-3'!G6</f>
        <v>-1.0000000133004505E-2</v>
      </c>
      <c r="H15" s="126">
        <f>H5-H3+'Данные по МКД-4'!G91-'Данные по МКД-4'!G95-'Данные по МКД-3'!H8+'Данные по МКД-3'!H6</f>
        <v>-9.9999993853998603E-3</v>
      </c>
      <c r="I15" s="126">
        <f>I5-I3+'Данные по МКД-4'!H91-'Данные по МКД-4'!H95-'Данные по МКД-3'!I8+'Данные по МКД-3'!I6</f>
        <v>-5.2386894822120667E-10</v>
      </c>
      <c r="J15" s="126">
        <f>J5-J3+'Данные по МКД-4'!I91-'Данные по МКД-4'!I95-'Данные по МКД-3'!J8+'Данные по МКД-3'!J6</f>
        <v>9.9999996382393874E-3</v>
      </c>
      <c r="K15" s="126">
        <f>K5-K3+'Данные по МКД-4'!J91-'Данные по МКД-4'!J95-'Данные по МКД-3'!K8+'Данные по МКД-3'!K6</f>
        <v>71260.870000000112</v>
      </c>
      <c r="L15" s="126">
        <f>L5-L3+'Данные по МКД-4'!K91-'Данные по МКД-4'!K95-'Данные по МКД-3'!L8+'Данные по МКД-3'!L6</f>
        <v>-9.999999645515345E-3</v>
      </c>
      <c r="M15" s="126">
        <f>M5-M3+'Данные по МКД-4'!L91-'Данные по МКД-4'!L95-'Данные по МКД-3'!M8+'Данные по МКД-3'!M6</f>
        <v>-1.0000000856962288E-2</v>
      </c>
    </row>
    <row r="16" spans="1:16" x14ac:dyDescent="0.25"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7"/>
    </row>
    <row r="17" spans="3:13" x14ac:dyDescent="0.25"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7"/>
    </row>
    <row r="18" spans="3:13" x14ac:dyDescent="0.25"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3:13" x14ac:dyDescent="0.25"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7"/>
    </row>
    <row r="20" spans="3:13" x14ac:dyDescent="0.25">
      <c r="C20" s="126">
        <f t="shared" ref="C20:K20" si="1">C5-C3</f>
        <v>3284427.46</v>
      </c>
      <c r="D20" s="126">
        <f t="shared" si="1"/>
        <v>703688.75</v>
      </c>
      <c r="E20" s="126">
        <f t="shared" si="1"/>
        <v>1179858.1000000001</v>
      </c>
      <c r="F20" s="126">
        <f t="shared" si="1"/>
        <v>610752.58000000007</v>
      </c>
      <c r="G20" s="126">
        <f t="shared" si="1"/>
        <v>799543.93</v>
      </c>
      <c r="H20" s="126">
        <f t="shared" si="1"/>
        <v>954301.45</v>
      </c>
      <c r="I20" s="126">
        <f t="shared" si="1"/>
        <v>894183.66</v>
      </c>
      <c r="J20" s="126">
        <f t="shared" si="1"/>
        <v>816594.97</v>
      </c>
      <c r="K20" s="126">
        <f t="shared" si="1"/>
        <v>0</v>
      </c>
      <c r="L20" s="126">
        <f>L5-L3</f>
        <v>1048375.52</v>
      </c>
      <c r="M20" s="126">
        <f>M5-M3</f>
        <v>600189.81000000006</v>
      </c>
    </row>
    <row r="21" spans="3:13" x14ac:dyDescent="0.25">
      <c r="C21" s="126">
        <f>'Данные по МКД-4'!B91</f>
        <v>15099797.99</v>
      </c>
      <c r="D21" s="126">
        <f>'Данные по МКД-4'!C91</f>
        <v>4569991.6000000006</v>
      </c>
      <c r="E21" s="126">
        <f>'Данные по МКД-4'!D91</f>
        <v>6296361.9299999997</v>
      </c>
      <c r="F21" s="126">
        <f>'Данные по МКД-4'!E91</f>
        <v>4545948.1100000003</v>
      </c>
      <c r="G21" s="126">
        <f>'Данные по МКД-4'!F91</f>
        <v>5678319.9900000002</v>
      </c>
      <c r="H21" s="126">
        <f>'Данные по МКД-4'!G91</f>
        <v>4746849.91</v>
      </c>
      <c r="I21" s="126">
        <f>'Данные по МКД-4'!H91</f>
        <v>7514224.4200000009</v>
      </c>
      <c r="J21" s="126">
        <f>'Данные по МКД-4'!I91</f>
        <v>7107253.4200000009</v>
      </c>
      <c r="K21" s="126">
        <f>'Данные по МКД-4'!J91</f>
        <v>1520504.61</v>
      </c>
      <c r="L21" s="126">
        <f>'Данные по МКД-4'!K91</f>
        <v>9257280.75</v>
      </c>
      <c r="M21" s="126">
        <f>'Данные по МКД-4'!L91</f>
        <v>4492277.7399999993</v>
      </c>
    </row>
    <row r="22" spans="3:13" x14ac:dyDescent="0.25">
      <c r="C22" s="126">
        <f>'Данные по МКД-4'!B95</f>
        <v>11288103.41</v>
      </c>
      <c r="D22" s="126">
        <f>'Данные по МКД-4'!C95</f>
        <v>3835840.2300000004</v>
      </c>
      <c r="E22" s="126">
        <f>'Данные по МКД-4'!D95</f>
        <v>5833766.4299999997</v>
      </c>
      <c r="F22" s="126">
        <f>'Данные по МКД-4'!E95</f>
        <v>4417884.2799999993</v>
      </c>
      <c r="G22" s="126">
        <f>'Данные по МКД-4'!F95</f>
        <v>5479611.6200000001</v>
      </c>
      <c r="H22" s="126">
        <f>'Данные по МКД-4'!G95</f>
        <v>4439326.18</v>
      </c>
      <c r="I22" s="126">
        <f>'Данные по МКД-4'!H95</f>
        <v>6932218.5600000005</v>
      </c>
      <c r="J22" s="126">
        <f>'Данные по МКД-4'!I95</f>
        <v>6774160.6700000009</v>
      </c>
      <c r="K22" s="126">
        <f>'Данные по МКД-4'!J95</f>
        <v>1449243.74</v>
      </c>
      <c r="L22" s="126">
        <f>'Данные по МКД-4'!K95</f>
        <v>7758478.6999999993</v>
      </c>
      <c r="M22" s="126">
        <f>'Данные по МКД-4'!L95</f>
        <v>3787591.1799999997</v>
      </c>
    </row>
    <row r="23" spans="3:13" x14ac:dyDescent="0.25">
      <c r="C23" s="140">
        <f t="shared" ref="C23:K23" si="2">C8-C6</f>
        <v>7096122.0499999998</v>
      </c>
      <c r="D23" s="140">
        <f t="shared" si="2"/>
        <v>1437840.1099999999</v>
      </c>
      <c r="E23" s="140">
        <f t="shared" si="2"/>
        <v>1642453.57</v>
      </c>
      <c r="F23" s="140">
        <f t="shared" si="2"/>
        <v>738816.41999999993</v>
      </c>
      <c r="G23" s="140">
        <f t="shared" si="2"/>
        <v>998252.30999999994</v>
      </c>
      <c r="H23" s="140">
        <f t="shared" si="2"/>
        <v>1261825.19</v>
      </c>
      <c r="I23" s="140">
        <f t="shared" si="2"/>
        <v>1476189.52</v>
      </c>
      <c r="J23" s="140">
        <f t="shared" si="2"/>
        <v>1149687.7100000002</v>
      </c>
      <c r="K23" s="140">
        <f t="shared" si="2"/>
        <v>0</v>
      </c>
      <c r="L23" s="140">
        <f>L8-L6</f>
        <v>2547177.58</v>
      </c>
      <c r="M23" s="140">
        <f>M8-M6</f>
        <v>1304876.3800000001</v>
      </c>
    </row>
    <row r="24" spans="3:13" x14ac:dyDescent="0.25">
      <c r="C24" s="126">
        <f t="shared" ref="C24:K24" si="3">C20+C21-C22-C23</f>
        <v>-1.0000000707805157E-2</v>
      </c>
      <c r="D24" s="126">
        <f t="shared" si="3"/>
        <v>1.0000000242143869E-2</v>
      </c>
      <c r="E24" s="126">
        <f t="shared" si="3"/>
        <v>2.999999956227839E-2</v>
      </c>
      <c r="F24" s="126">
        <f t="shared" si="3"/>
        <v>-9.9999988451600075E-3</v>
      </c>
      <c r="G24" s="126">
        <f t="shared" si="3"/>
        <v>-1.0000000125728548E-2</v>
      </c>
      <c r="H24" s="126">
        <f t="shared" si="3"/>
        <v>-9.9999993108212948E-3</v>
      </c>
      <c r="I24" s="126">
        <f t="shared" si="3"/>
        <v>0</v>
      </c>
      <c r="J24" s="126">
        <f t="shared" si="3"/>
        <v>9.9999995436519384E-3</v>
      </c>
      <c r="K24" s="126">
        <f t="shared" si="3"/>
        <v>71260.870000000112</v>
      </c>
      <c r="L24" s="126">
        <f>L20+L21-L22-L23</f>
        <v>-9.9999997764825821E-3</v>
      </c>
      <c r="M24" s="126">
        <f>M20+M21-M22-M23</f>
        <v>-1.00000009406358E-2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"/>
  <sheetViews>
    <sheetView workbookViewId="0">
      <selection activeCell="H23" sqref="H23"/>
    </sheetView>
  </sheetViews>
  <sheetFormatPr defaultRowHeight="15" x14ac:dyDescent="0.25"/>
  <cols>
    <col min="1" max="1" width="79.28515625" customWidth="1"/>
    <col min="2" max="2" width="11" customWidth="1"/>
  </cols>
  <sheetData>
    <row r="1" spans="1:13" x14ac:dyDescent="0.25">
      <c r="A1" s="4" t="s">
        <v>62</v>
      </c>
    </row>
    <row r="2" spans="1:13" x14ac:dyDescent="0.25">
      <c r="A2" s="3" t="s">
        <v>49</v>
      </c>
      <c r="B2" s="10" t="s">
        <v>75</v>
      </c>
      <c r="C2" s="10" t="s">
        <v>76</v>
      </c>
      <c r="D2" s="10" t="s">
        <v>79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77</v>
      </c>
      <c r="L2" s="10" t="s">
        <v>78</v>
      </c>
      <c r="M2" s="11" t="s">
        <v>64</v>
      </c>
    </row>
    <row r="3" spans="1:13" ht="20.100000000000001" customHeight="1" x14ac:dyDescent="0.25">
      <c r="A3" s="7" t="s">
        <v>46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0.100000000000001" customHeight="1" x14ac:dyDescent="0.25">
      <c r="A4" s="7" t="s">
        <v>47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0.100000000000001" customHeight="1" x14ac:dyDescent="0.25">
      <c r="A5" s="7" t="s">
        <v>48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Данные по УК</vt:lpstr>
      <vt:lpstr>Данные по МКД-4</vt:lpstr>
      <vt:lpstr>Данные по МКД-6</vt:lpstr>
      <vt:lpstr>Данные по МКД-2</vt:lpstr>
      <vt:lpstr>Данные по МКД-1</vt:lpstr>
      <vt:lpstr>Данные по МКД-3</vt:lpstr>
      <vt:lpstr>Данные по МКД-5</vt:lpstr>
      <vt:lpstr>'Данные по МКД-1'!Область_печати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Синицына Елена Олеговна</cp:lastModifiedBy>
  <cp:lastPrinted>2017-03-30T23:14:50Z</cp:lastPrinted>
  <dcterms:created xsi:type="dcterms:W3CDTF">2016-03-23T13:09:41Z</dcterms:created>
  <dcterms:modified xsi:type="dcterms:W3CDTF">2017-04-03T07:09:30Z</dcterms:modified>
</cp:coreProperties>
</file>