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УК Сервис+\1_Общее\Раскрытие информации\2019\Реформа ЖКХ и сайты УК\УКС+\"/>
    </mc:Choice>
  </mc:AlternateContent>
  <bookViews>
    <workbookView xWindow="0" yWindow="0" windowWidth="16380" windowHeight="8190" tabRatio="651"/>
  </bookViews>
  <sheets>
    <sheet name="Данные по УК" sheetId="1" r:id="rId1"/>
    <sheet name="Данные по МКД-4" sheetId="2" r:id="rId2"/>
    <sheet name="Данные по МКД-6" sheetId="3" r:id="rId3"/>
    <sheet name="Данные по МКД-2" sheetId="4" r:id="rId4"/>
    <sheet name="Данные по МКД-1" sheetId="5" r:id="rId5"/>
    <sheet name="Данные по МКД-3" sheetId="6" r:id="rId6"/>
    <sheet name="Данные по МКД-5" sheetId="7" r:id="rId7"/>
  </sheets>
  <definedNames>
    <definedName name="__xlnm.Print_Area_5">'Данные по МКД-1'!$A$1:$G$34</definedName>
    <definedName name="_xlnm.Print_Area" localSheetId="4">'Данные по МКД-1'!$A$1:$G$34</definedName>
  </definedNames>
  <calcPr calcId="152511" iterateDelta="1E-4"/>
</workbook>
</file>

<file path=xl/calcChain.xml><?xml version="1.0" encoding="utf-8"?>
<calcChain xmlns="http://schemas.openxmlformats.org/spreadsheetml/2006/main">
  <c r="L5" i="3" l="1"/>
  <c r="L4" i="3"/>
  <c r="L9" i="3"/>
  <c r="L17" i="3"/>
  <c r="L3" i="3"/>
  <c r="L15" i="3"/>
  <c r="L16" i="3"/>
  <c r="L58" i="2"/>
  <c r="L41" i="2"/>
  <c r="L7" i="2"/>
  <c r="K3" i="3" l="1"/>
  <c r="K7" i="3"/>
  <c r="K9" i="3"/>
  <c r="K12" i="3"/>
  <c r="L16" i="5" s="1"/>
  <c r="K11" i="3"/>
  <c r="K5" i="3"/>
  <c r="K15" i="3"/>
  <c r="K16" i="3"/>
  <c r="K4" i="3"/>
  <c r="J9" i="3"/>
  <c r="J4" i="3"/>
  <c r="J3" i="3"/>
  <c r="J15" i="3"/>
  <c r="I7" i="3"/>
  <c r="I9" i="3"/>
  <c r="I12" i="3"/>
  <c r="I11" i="3"/>
  <c r="I5" i="3"/>
  <c r="I3" i="3"/>
  <c r="I15" i="3"/>
  <c r="I16" i="3"/>
  <c r="I4" i="3"/>
  <c r="H3" i="3"/>
  <c r="H4" i="3"/>
  <c r="M73" i="2"/>
  <c r="M56" i="2"/>
  <c r="M39" i="2"/>
  <c r="M22" i="2"/>
  <c r="M5" i="2"/>
  <c r="G17" i="3"/>
  <c r="G3" i="3"/>
  <c r="G4" i="3"/>
  <c r="F9" i="3"/>
  <c r="F7" i="3"/>
  <c r="F12" i="3"/>
  <c r="F17" i="3"/>
  <c r="F11" i="3"/>
  <c r="F5" i="3"/>
  <c r="F3" i="3"/>
  <c r="F15" i="3"/>
  <c r="F4" i="3"/>
  <c r="G7" i="2"/>
  <c r="H7" i="2"/>
  <c r="I7" i="2"/>
  <c r="J7" i="2"/>
  <c r="K7" i="2"/>
  <c r="F7" i="2"/>
  <c r="E7" i="2"/>
  <c r="E3" i="3"/>
  <c r="E7" i="3"/>
  <c r="E9" i="3"/>
  <c r="E12" i="3"/>
  <c r="E11" i="3"/>
  <c r="E15" i="3"/>
  <c r="E16" i="3"/>
  <c r="E4" i="3"/>
  <c r="E17" i="3"/>
  <c r="D4" i="3"/>
  <c r="D7" i="3"/>
  <c r="D9" i="3"/>
  <c r="D12" i="3"/>
  <c r="D11" i="3"/>
  <c r="D3" i="3"/>
  <c r="D15" i="3"/>
  <c r="D16" i="3"/>
  <c r="D17" i="3"/>
  <c r="D75" i="2"/>
  <c r="D58" i="2"/>
  <c r="D41" i="2"/>
  <c r="D24" i="2"/>
  <c r="D7" i="2"/>
  <c r="C75" i="2"/>
  <c r="E75" i="2"/>
  <c r="F75" i="2"/>
  <c r="G75" i="2"/>
  <c r="H75" i="2"/>
  <c r="I75" i="2"/>
  <c r="J75" i="2"/>
  <c r="K75" i="2"/>
  <c r="L75" i="2"/>
  <c r="C58" i="2"/>
  <c r="E58" i="2"/>
  <c r="F58" i="2"/>
  <c r="G58" i="2"/>
  <c r="H58" i="2"/>
  <c r="I58" i="2"/>
  <c r="J58" i="2"/>
  <c r="K58" i="2"/>
  <c r="C41" i="2"/>
  <c r="E41" i="2"/>
  <c r="F41" i="2"/>
  <c r="G41" i="2"/>
  <c r="H41" i="2"/>
  <c r="I41" i="2"/>
  <c r="J41" i="2"/>
  <c r="K41" i="2"/>
  <c r="C24" i="2"/>
  <c r="E24" i="2"/>
  <c r="F24" i="2"/>
  <c r="G24" i="2"/>
  <c r="H24" i="2"/>
  <c r="I24" i="2"/>
  <c r="J24" i="2"/>
  <c r="K24" i="2"/>
  <c r="L24" i="2"/>
  <c r="C7" i="2"/>
  <c r="C92" i="2"/>
  <c r="D92" i="2"/>
  <c r="E92" i="2"/>
  <c r="F92" i="2"/>
  <c r="G92" i="2"/>
  <c r="H92" i="2"/>
  <c r="I92" i="2"/>
  <c r="J92" i="2"/>
  <c r="K92" i="2"/>
  <c r="L92" i="2"/>
  <c r="B92" i="2"/>
  <c r="C17" i="3"/>
  <c r="C15" i="3"/>
  <c r="C16" i="3"/>
  <c r="C13" i="3"/>
  <c r="C9" i="3"/>
  <c r="C12" i="3"/>
  <c r="D16" i="5" s="1"/>
  <c r="C11" i="3"/>
  <c r="C7" i="3"/>
  <c r="C5" i="3"/>
  <c r="C4" i="3"/>
  <c r="C3" i="3"/>
  <c r="D7" i="5"/>
  <c r="E7" i="5"/>
  <c r="F7" i="5"/>
  <c r="G7" i="5"/>
  <c r="H7" i="5"/>
  <c r="I7" i="5"/>
  <c r="J7" i="5"/>
  <c r="K7" i="5"/>
  <c r="L7" i="5"/>
  <c r="M7" i="5"/>
  <c r="D8" i="5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C10" i="5"/>
  <c r="D10" i="5"/>
  <c r="E10" i="5"/>
  <c r="F10" i="5"/>
  <c r="G10" i="5"/>
  <c r="H10" i="5"/>
  <c r="I10" i="5"/>
  <c r="J10" i="5"/>
  <c r="K10" i="5"/>
  <c r="L10" i="5"/>
  <c r="M10" i="5"/>
  <c r="N10" i="5" s="1"/>
  <c r="D11" i="5"/>
  <c r="E11" i="5"/>
  <c r="F11" i="5"/>
  <c r="G11" i="5"/>
  <c r="H11" i="5"/>
  <c r="I11" i="5"/>
  <c r="J11" i="5"/>
  <c r="K11" i="5"/>
  <c r="L11" i="5"/>
  <c r="M11" i="5"/>
  <c r="C12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C14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E16" i="5"/>
  <c r="F16" i="5"/>
  <c r="G16" i="5"/>
  <c r="H16" i="5"/>
  <c r="I16" i="5"/>
  <c r="J16" i="5"/>
  <c r="K16" i="5"/>
  <c r="M16" i="5"/>
  <c r="D17" i="5"/>
  <c r="E17" i="5"/>
  <c r="F17" i="5"/>
  <c r="G17" i="5"/>
  <c r="H17" i="5"/>
  <c r="I17" i="5"/>
  <c r="J17" i="5"/>
  <c r="K17" i="5"/>
  <c r="L17" i="5"/>
  <c r="M17" i="5"/>
  <c r="C18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C22" i="5"/>
  <c r="D22" i="5"/>
  <c r="E22" i="5"/>
  <c r="F22" i="5"/>
  <c r="G22" i="5"/>
  <c r="H22" i="5"/>
  <c r="I22" i="5"/>
  <c r="J22" i="5"/>
  <c r="K22" i="5"/>
  <c r="L22" i="5"/>
  <c r="M22" i="5"/>
  <c r="N22" i="5"/>
  <c r="C23" i="5"/>
  <c r="D23" i="5"/>
  <c r="E23" i="5"/>
  <c r="F23" i="5"/>
  <c r="G23" i="5"/>
  <c r="H23" i="5"/>
  <c r="I23" i="5"/>
  <c r="J23" i="5"/>
  <c r="K23" i="5"/>
  <c r="L23" i="5"/>
  <c r="M23" i="5"/>
  <c r="N23" i="5"/>
  <c r="N31" i="5"/>
  <c r="C36" i="5"/>
  <c r="D36" i="5"/>
  <c r="C93" i="2" s="1"/>
  <c r="E36" i="5"/>
  <c r="D93" i="2" s="1"/>
  <c r="F36" i="5"/>
  <c r="E93" i="2" s="1"/>
  <c r="G36" i="5"/>
  <c r="F93" i="2" s="1"/>
  <c r="H36" i="5"/>
  <c r="G93" i="2" s="1"/>
  <c r="I36" i="5"/>
  <c r="H93" i="2" s="1"/>
  <c r="J36" i="5"/>
  <c r="I93" i="2" s="1"/>
  <c r="K36" i="5"/>
  <c r="J93" i="2" s="1"/>
  <c r="L36" i="5"/>
  <c r="M36" i="5"/>
  <c r="L93" i="2" s="1"/>
  <c r="C37" i="5"/>
  <c r="D37" i="5"/>
  <c r="E37" i="5"/>
  <c r="F37" i="5"/>
  <c r="G37" i="5"/>
  <c r="H37" i="5"/>
  <c r="I37" i="5"/>
  <c r="J37" i="5"/>
  <c r="K37" i="5"/>
  <c r="L37" i="5"/>
  <c r="M37" i="5"/>
  <c r="C39" i="5"/>
  <c r="D39" i="5"/>
  <c r="E39" i="5"/>
  <c r="F39" i="5"/>
  <c r="G39" i="5"/>
  <c r="H39" i="5"/>
  <c r="I39" i="5"/>
  <c r="J39" i="5"/>
  <c r="K39" i="5"/>
  <c r="L39" i="5"/>
  <c r="M39" i="5"/>
  <c r="C40" i="5"/>
  <c r="D40" i="5"/>
  <c r="E40" i="5"/>
  <c r="F40" i="5"/>
  <c r="G40" i="5"/>
  <c r="H40" i="5"/>
  <c r="I40" i="5"/>
  <c r="J40" i="5"/>
  <c r="K40" i="5"/>
  <c r="L40" i="5"/>
  <c r="M40" i="5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C7" i="4"/>
  <c r="D7" i="4"/>
  <c r="E7" i="4"/>
  <c r="F7" i="4"/>
  <c r="G7" i="4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N17" i="4"/>
  <c r="D18" i="4"/>
  <c r="E18" i="4"/>
  <c r="F18" i="4"/>
  <c r="G18" i="4"/>
  <c r="H18" i="4"/>
  <c r="I18" i="4"/>
  <c r="J18" i="4"/>
  <c r="K18" i="4"/>
  <c r="L18" i="4"/>
  <c r="M18" i="4"/>
  <c r="C19" i="4"/>
  <c r="N19" i="4" s="1"/>
  <c r="D19" i="4"/>
  <c r="E19" i="4"/>
  <c r="F19" i="4"/>
  <c r="G19" i="4"/>
  <c r="H19" i="4"/>
  <c r="I19" i="4"/>
  <c r="J19" i="4"/>
  <c r="K19" i="4"/>
  <c r="L19" i="4"/>
  <c r="M19" i="4"/>
  <c r="C20" i="4"/>
  <c r="N20" i="4" s="1"/>
  <c r="D20" i="4"/>
  <c r="E20" i="4"/>
  <c r="F20" i="4"/>
  <c r="G20" i="4"/>
  <c r="H20" i="4"/>
  <c r="I20" i="4"/>
  <c r="J20" i="4"/>
  <c r="K20" i="4"/>
  <c r="L20" i="4"/>
  <c r="M20" i="4"/>
  <c r="H21" i="4"/>
  <c r="G4" i="1" s="1"/>
  <c r="C26" i="4"/>
  <c r="C38" i="5" s="1"/>
  <c r="D26" i="4"/>
  <c r="D38" i="5" s="1"/>
  <c r="E26" i="4"/>
  <c r="E38" i="5" s="1"/>
  <c r="F26" i="4"/>
  <c r="F38" i="5" s="1"/>
  <c r="G26" i="4"/>
  <c r="G38" i="5" s="1"/>
  <c r="H26" i="4"/>
  <c r="H38" i="5" s="1"/>
  <c r="I26" i="4"/>
  <c r="I38" i="5" s="1"/>
  <c r="J26" i="4"/>
  <c r="J38" i="5" s="1"/>
  <c r="K26" i="4"/>
  <c r="K38" i="5" s="1"/>
  <c r="L26" i="4"/>
  <c r="L38" i="5" s="1"/>
  <c r="M26" i="4"/>
  <c r="M38" i="5" s="1"/>
  <c r="B7" i="2"/>
  <c r="B13" i="2"/>
  <c r="C13" i="2"/>
  <c r="D13" i="2"/>
  <c r="E13" i="2"/>
  <c r="F13" i="2"/>
  <c r="G13" i="2"/>
  <c r="H13" i="2"/>
  <c r="I13" i="2"/>
  <c r="J13" i="2"/>
  <c r="K13" i="2"/>
  <c r="L13" i="2"/>
  <c r="M15" i="2"/>
  <c r="M17" i="2"/>
  <c r="B24" i="2"/>
  <c r="B30" i="2"/>
  <c r="C30" i="2"/>
  <c r="D30" i="2"/>
  <c r="E30" i="2"/>
  <c r="F30" i="2"/>
  <c r="G30" i="2"/>
  <c r="H30" i="2"/>
  <c r="I30" i="2"/>
  <c r="J30" i="2"/>
  <c r="K30" i="2"/>
  <c r="L30" i="2"/>
  <c r="D32" i="2"/>
  <c r="E32" i="2"/>
  <c r="F32" i="2"/>
  <c r="G32" i="2"/>
  <c r="H32" i="2"/>
  <c r="I32" i="2"/>
  <c r="J32" i="2"/>
  <c r="K32" i="2"/>
  <c r="M34" i="2"/>
  <c r="B41" i="2"/>
  <c r="M47" i="2"/>
  <c r="B49" i="2"/>
  <c r="C49" i="2"/>
  <c r="H49" i="2"/>
  <c r="B51" i="2"/>
  <c r="C51" i="2"/>
  <c r="D51" i="2"/>
  <c r="D6" i="1" s="1"/>
  <c r="E51" i="2"/>
  <c r="E49" i="2" s="1"/>
  <c r="F51" i="2"/>
  <c r="F49" i="2" s="1"/>
  <c r="G51" i="2"/>
  <c r="G49" i="2" s="1"/>
  <c r="H51" i="2"/>
  <c r="H6" i="1" s="1"/>
  <c r="I51" i="2"/>
  <c r="I49" i="2" s="1"/>
  <c r="J51" i="2"/>
  <c r="J49" i="2" s="1"/>
  <c r="K51" i="2"/>
  <c r="K49" i="2" s="1"/>
  <c r="B58" i="2"/>
  <c r="B64" i="2"/>
  <c r="C64" i="2"/>
  <c r="D64" i="2"/>
  <c r="D66" i="2" s="1"/>
  <c r="E64" i="2"/>
  <c r="F64" i="2"/>
  <c r="F66" i="2" s="1"/>
  <c r="G64" i="2"/>
  <c r="H64" i="2"/>
  <c r="H66" i="2" s="1"/>
  <c r="I64" i="2"/>
  <c r="J64" i="2"/>
  <c r="J66" i="2" s="1"/>
  <c r="K64" i="2"/>
  <c r="M64" i="2"/>
  <c r="B66" i="2"/>
  <c r="C66" i="2"/>
  <c r="B68" i="2"/>
  <c r="C68" i="2"/>
  <c r="D68" i="2"/>
  <c r="D9" i="1" s="1"/>
  <c r="E68" i="2"/>
  <c r="E66" i="2" s="1"/>
  <c r="F68" i="2"/>
  <c r="G68" i="2"/>
  <c r="H68" i="2"/>
  <c r="H9" i="1" s="1"/>
  <c r="I68" i="2"/>
  <c r="I66" i="2" s="1"/>
  <c r="J68" i="2"/>
  <c r="K68" i="2"/>
  <c r="B75" i="2"/>
  <c r="M81" i="2"/>
  <c r="M82" i="2"/>
  <c r="D83" i="2"/>
  <c r="E83" i="2"/>
  <c r="M83" i="2" s="1"/>
  <c r="F83" i="2"/>
  <c r="G83" i="2"/>
  <c r="H83" i="2"/>
  <c r="I83" i="2"/>
  <c r="J83" i="2"/>
  <c r="K83" i="2"/>
  <c r="M84" i="2"/>
  <c r="D85" i="2"/>
  <c r="D11" i="1" s="1"/>
  <c r="M85" i="2"/>
  <c r="B93" i="2"/>
  <c r="B26" i="2" s="1"/>
  <c r="B3" i="3"/>
  <c r="C7" i="5" s="1"/>
  <c r="M3" i="3"/>
  <c r="B4" i="3"/>
  <c r="C8" i="5" s="1"/>
  <c r="M4" i="3"/>
  <c r="B5" i="3"/>
  <c r="C9" i="5" s="1"/>
  <c r="M5" i="3"/>
  <c r="M6" i="3"/>
  <c r="B7" i="3"/>
  <c r="C11" i="5" s="1"/>
  <c r="N11" i="5" s="1"/>
  <c r="M8" i="3"/>
  <c r="B9" i="3"/>
  <c r="C13" i="5" s="1"/>
  <c r="N13" i="5" s="1"/>
  <c r="M9" i="3"/>
  <c r="M10" i="3"/>
  <c r="B11" i="3"/>
  <c r="C15" i="5" s="1"/>
  <c r="N15" i="5" s="1"/>
  <c r="B12" i="3"/>
  <c r="C16" i="5" s="1"/>
  <c r="M12" i="3"/>
  <c r="B13" i="3"/>
  <c r="C17" i="5" s="1"/>
  <c r="N17" i="5" s="1"/>
  <c r="M14" i="3"/>
  <c r="B15" i="3"/>
  <c r="C19" i="5" s="1"/>
  <c r="N19" i="5" s="1"/>
  <c r="M15" i="3"/>
  <c r="B16" i="3"/>
  <c r="C20" i="5" s="1"/>
  <c r="M16" i="3"/>
  <c r="B17" i="3"/>
  <c r="C21" i="5" s="1"/>
  <c r="N21" i="5" s="1"/>
  <c r="M17" i="3"/>
  <c r="M18" i="3"/>
  <c r="M19" i="3"/>
  <c r="C20" i="3"/>
  <c r="C3" i="1" s="1"/>
  <c r="E20" i="3"/>
  <c r="E3" i="1" s="1"/>
  <c r="F20" i="3"/>
  <c r="F3" i="1" s="1"/>
  <c r="G20" i="3"/>
  <c r="G3" i="1" s="1"/>
  <c r="H20" i="3"/>
  <c r="H3" i="1" s="1"/>
  <c r="I20" i="3"/>
  <c r="I3" i="1" s="1"/>
  <c r="J20" i="3"/>
  <c r="J3" i="1" s="1"/>
  <c r="K20" i="3"/>
  <c r="L20" i="3"/>
  <c r="B6" i="1"/>
  <c r="C6" i="1"/>
  <c r="E6" i="1"/>
  <c r="F6" i="1"/>
  <c r="G6" i="1"/>
  <c r="I6" i="1"/>
  <c r="J6" i="1"/>
  <c r="K6" i="1"/>
  <c r="L6" i="1"/>
  <c r="B9" i="1"/>
  <c r="C9" i="1"/>
  <c r="E9" i="1"/>
  <c r="F9" i="1"/>
  <c r="G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1" i="1"/>
  <c r="B13" i="1"/>
  <c r="C13" i="1"/>
  <c r="D13" i="1"/>
  <c r="E13" i="1"/>
  <c r="F13" i="1"/>
  <c r="G13" i="1"/>
  <c r="H13" i="1"/>
  <c r="I13" i="1"/>
  <c r="J13" i="1"/>
  <c r="K13" i="1"/>
  <c r="L13" i="1"/>
  <c r="I77" i="2" l="1"/>
  <c r="I43" i="2"/>
  <c r="I9" i="2"/>
  <c r="J8" i="6"/>
  <c r="I60" i="2"/>
  <c r="I26" i="2"/>
  <c r="G60" i="2"/>
  <c r="G26" i="2"/>
  <c r="H8" i="6"/>
  <c r="G77" i="2"/>
  <c r="G43" i="2"/>
  <c r="G9" i="2"/>
  <c r="E43" i="2"/>
  <c r="E9" i="2"/>
  <c r="E77" i="2"/>
  <c r="E60" i="2"/>
  <c r="E26" i="2"/>
  <c r="F8" i="6"/>
  <c r="C26" i="2"/>
  <c r="C43" i="2"/>
  <c r="C60" i="2"/>
  <c r="C77" i="2"/>
  <c r="C9" i="2"/>
  <c r="L77" i="2"/>
  <c r="L43" i="2"/>
  <c r="L9" i="2"/>
  <c r="L60" i="2"/>
  <c r="L26" i="2"/>
  <c r="J77" i="2"/>
  <c r="J26" i="2"/>
  <c r="J43" i="2"/>
  <c r="J9" i="2"/>
  <c r="J60" i="2"/>
  <c r="K8" i="6"/>
  <c r="H43" i="2"/>
  <c r="H9" i="2"/>
  <c r="H60" i="2"/>
  <c r="H77" i="2"/>
  <c r="H26" i="2"/>
  <c r="I8" i="6"/>
  <c r="F43" i="2"/>
  <c r="F9" i="2"/>
  <c r="F60" i="2"/>
  <c r="F26" i="2"/>
  <c r="F77" i="2"/>
  <c r="E8" i="6"/>
  <c r="D77" i="2"/>
  <c r="D60" i="2"/>
  <c r="D43" i="2"/>
  <c r="D26" i="2"/>
  <c r="D9" i="2"/>
  <c r="M13" i="1"/>
  <c r="M11" i="1"/>
  <c r="M9" i="1"/>
  <c r="M7" i="3"/>
  <c r="C8" i="6"/>
  <c r="M68" i="2"/>
  <c r="K66" i="2"/>
  <c r="G66" i="2"/>
  <c r="M51" i="2"/>
  <c r="D49" i="2"/>
  <c r="B43" i="2"/>
  <c r="B9" i="2"/>
  <c r="N11" i="4"/>
  <c r="N7" i="4"/>
  <c r="H31" i="5"/>
  <c r="H6" i="6" s="1"/>
  <c r="D31" i="5"/>
  <c r="D6" i="6" s="1"/>
  <c r="N36" i="5"/>
  <c r="M25" i="5"/>
  <c r="M30" i="5" s="1"/>
  <c r="J25" i="5"/>
  <c r="J30" i="5" s="1"/>
  <c r="H25" i="5"/>
  <c r="H30" i="5" s="1"/>
  <c r="F25" i="5"/>
  <c r="F30" i="5" s="1"/>
  <c r="D25" i="5"/>
  <c r="D30" i="5" s="1"/>
  <c r="D8" i="6"/>
  <c r="C94" i="2" s="1"/>
  <c r="C79" i="2" s="1"/>
  <c r="D20" i="3"/>
  <c r="D3" i="1" s="1"/>
  <c r="M10" i="1"/>
  <c r="M6" i="1"/>
  <c r="B77" i="2"/>
  <c r="M32" i="2"/>
  <c r="M30" i="2"/>
  <c r="M13" i="2"/>
  <c r="N15" i="4"/>
  <c r="N9" i="4"/>
  <c r="K25" i="5"/>
  <c r="K30" i="5" s="1"/>
  <c r="I25" i="5"/>
  <c r="I30" i="5" s="1"/>
  <c r="G25" i="5"/>
  <c r="G30" i="5" s="1"/>
  <c r="E25" i="5"/>
  <c r="E30" i="5" s="1"/>
  <c r="M8" i="6"/>
  <c r="G8" i="6"/>
  <c r="B60" i="2"/>
  <c r="N9" i="5"/>
  <c r="M21" i="4"/>
  <c r="L4" i="1" s="1"/>
  <c r="M6" i="5"/>
  <c r="M34" i="5" s="1"/>
  <c r="L3" i="1"/>
  <c r="M24" i="2"/>
  <c r="L21" i="4"/>
  <c r="K4" i="1" s="1"/>
  <c r="K3" i="1"/>
  <c r="L6" i="5"/>
  <c r="L34" i="5" s="1"/>
  <c r="M41" i="2"/>
  <c r="M7" i="2"/>
  <c r="K21" i="4"/>
  <c r="J4" i="1" s="1"/>
  <c r="K6" i="5"/>
  <c r="K34" i="5" s="1"/>
  <c r="K22" i="4"/>
  <c r="M75" i="2"/>
  <c r="M58" i="2"/>
  <c r="M92" i="2"/>
  <c r="J21" i="4"/>
  <c r="I4" i="1" s="1"/>
  <c r="J6" i="5"/>
  <c r="J34" i="5" s="1"/>
  <c r="L25" i="5"/>
  <c r="L30" i="5" s="1"/>
  <c r="L31" i="5"/>
  <c r="L6" i="6" s="1"/>
  <c r="K93" i="2"/>
  <c r="I21" i="4"/>
  <c r="H4" i="1" s="1"/>
  <c r="I6" i="5"/>
  <c r="I34" i="5" s="1"/>
  <c r="H22" i="4"/>
  <c r="H6" i="5"/>
  <c r="H34" i="5" s="1"/>
  <c r="G21" i="4"/>
  <c r="G6" i="5"/>
  <c r="G34" i="5" s="1"/>
  <c r="F97" i="2"/>
  <c r="F21" i="4"/>
  <c r="N20" i="5"/>
  <c r="F6" i="5"/>
  <c r="F34" i="5" s="1"/>
  <c r="E97" i="2"/>
  <c r="N8" i="5"/>
  <c r="E21" i="4"/>
  <c r="E6" i="5"/>
  <c r="E34" i="5" s="1"/>
  <c r="C62" i="2"/>
  <c r="C28" i="2"/>
  <c r="C11" i="2"/>
  <c r="C45" i="2"/>
  <c r="N16" i="5"/>
  <c r="D21" i="4"/>
  <c r="C4" i="1" s="1"/>
  <c r="D6" i="5"/>
  <c r="D33" i="5" s="1"/>
  <c r="M66" i="2"/>
  <c r="K31" i="5"/>
  <c r="K6" i="6" s="1"/>
  <c r="G31" i="5"/>
  <c r="G6" i="6" s="1"/>
  <c r="C31" i="5"/>
  <c r="C6" i="6" s="1"/>
  <c r="B94" i="2" s="1"/>
  <c r="J31" i="5"/>
  <c r="J6" i="6" s="1"/>
  <c r="F31" i="5"/>
  <c r="F6" i="6" s="1"/>
  <c r="C25" i="5"/>
  <c r="C6" i="5"/>
  <c r="N7" i="5"/>
  <c r="M49" i="2"/>
  <c r="M31" i="5"/>
  <c r="M6" i="6" s="1"/>
  <c r="I31" i="5"/>
  <c r="I6" i="6" s="1"/>
  <c r="E31" i="5"/>
  <c r="E6" i="6" s="1"/>
  <c r="C16" i="4"/>
  <c r="N16" i="4" s="1"/>
  <c r="C14" i="4"/>
  <c r="N14" i="4" s="1"/>
  <c r="C13" i="4"/>
  <c r="N13" i="4" s="1"/>
  <c r="C12" i="4"/>
  <c r="N12" i="4" s="1"/>
  <c r="C10" i="4"/>
  <c r="N10" i="4" s="1"/>
  <c r="C8" i="4"/>
  <c r="N8" i="4" s="1"/>
  <c r="C6" i="4"/>
  <c r="N6" i="4" s="1"/>
  <c r="C5" i="4"/>
  <c r="N5" i="4" s="1"/>
  <c r="C4" i="4"/>
  <c r="B20" i="3"/>
  <c r="M13" i="3"/>
  <c r="M11" i="3"/>
  <c r="C18" i="4"/>
  <c r="N18" i="4" s="1"/>
  <c r="C30" i="5" l="1"/>
  <c r="N25" i="5"/>
  <c r="N30" i="5" s="1"/>
  <c r="G22" i="4"/>
  <c r="F4" i="1"/>
  <c r="L94" i="2"/>
  <c r="D34" i="5"/>
  <c r="D94" i="2"/>
  <c r="H94" i="2"/>
  <c r="J94" i="2"/>
  <c r="J97" i="2"/>
  <c r="L97" i="2"/>
  <c r="E94" i="2"/>
  <c r="I94" i="2"/>
  <c r="C34" i="5"/>
  <c r="B3" i="1"/>
  <c r="E22" i="4"/>
  <c r="D4" i="1"/>
  <c r="F22" i="4"/>
  <c r="E4" i="1"/>
  <c r="K77" i="2"/>
  <c r="K43" i="2"/>
  <c r="K9" i="2"/>
  <c r="K60" i="2"/>
  <c r="K26" i="2"/>
  <c r="F94" i="2"/>
  <c r="D22" i="4"/>
  <c r="C98" i="2"/>
  <c r="B97" i="2"/>
  <c r="D97" i="2"/>
  <c r="H97" i="2"/>
  <c r="C97" i="2"/>
  <c r="G94" i="2"/>
  <c r="G97" i="2"/>
  <c r="I97" i="2"/>
  <c r="M3" i="1"/>
  <c r="M22" i="4"/>
  <c r="M33" i="5"/>
  <c r="L22" i="4"/>
  <c r="L33" i="5"/>
  <c r="K33" i="5"/>
  <c r="J33" i="5"/>
  <c r="J22" i="4"/>
  <c r="M60" i="2"/>
  <c r="M43" i="2"/>
  <c r="L8" i="6"/>
  <c r="K94" i="2" s="1"/>
  <c r="K79" i="2" s="1"/>
  <c r="M77" i="2"/>
  <c r="M26" i="2"/>
  <c r="M93" i="2"/>
  <c r="N37" i="5" s="1"/>
  <c r="I22" i="4"/>
  <c r="I33" i="5"/>
  <c r="H33" i="5"/>
  <c r="G33" i="5"/>
  <c r="N6" i="5"/>
  <c r="N33" i="5" s="1"/>
  <c r="F33" i="5"/>
  <c r="B11" i="2"/>
  <c r="B62" i="2"/>
  <c r="B79" i="2"/>
  <c r="B28" i="2"/>
  <c r="B45" i="2"/>
  <c r="M20" i="3"/>
  <c r="C21" i="4"/>
  <c r="N4" i="4"/>
  <c r="E33" i="5"/>
  <c r="C33" i="5"/>
  <c r="N21" i="4" l="1"/>
  <c r="B4" i="1"/>
  <c r="M4" i="1" s="1"/>
  <c r="F11" i="2"/>
  <c r="F45" i="2"/>
  <c r="F62" i="2"/>
  <c r="F28" i="2"/>
  <c r="F79" i="2"/>
  <c r="F98" i="2" s="1"/>
  <c r="I11" i="2"/>
  <c r="I79" i="2"/>
  <c r="I45" i="2"/>
  <c r="I62" i="2"/>
  <c r="I28" i="2"/>
  <c r="J45" i="2"/>
  <c r="J79" i="2"/>
  <c r="J62" i="2"/>
  <c r="J28" i="2"/>
  <c r="J11" i="2"/>
  <c r="D79" i="2"/>
  <c r="D62" i="2"/>
  <c r="D28" i="2"/>
  <c r="D45" i="2"/>
  <c r="D11" i="2"/>
  <c r="B98" i="2"/>
  <c r="G79" i="2"/>
  <c r="G45" i="2"/>
  <c r="G11" i="2"/>
  <c r="G62" i="2"/>
  <c r="G28" i="2"/>
  <c r="E62" i="2"/>
  <c r="E79" i="2"/>
  <c r="E45" i="2"/>
  <c r="E11" i="2"/>
  <c r="E28" i="2"/>
  <c r="H79" i="2"/>
  <c r="H28" i="2"/>
  <c r="H62" i="2"/>
  <c r="H45" i="2"/>
  <c r="H11" i="2"/>
  <c r="L79" i="2"/>
  <c r="L45" i="2"/>
  <c r="L28" i="2"/>
  <c r="L11" i="2"/>
  <c r="L62" i="2"/>
  <c r="K45" i="2"/>
  <c r="K62" i="2"/>
  <c r="K11" i="2"/>
  <c r="M11" i="2" s="1"/>
  <c r="K28" i="2"/>
  <c r="M28" i="2" s="1"/>
  <c r="K97" i="2"/>
  <c r="M9" i="2"/>
  <c r="M97" i="2" s="1"/>
  <c r="M45" i="2"/>
  <c r="M94" i="2"/>
  <c r="M62" i="2"/>
  <c r="C22" i="4"/>
  <c r="H98" i="2" l="1"/>
  <c r="E98" i="2"/>
  <c r="G98" i="2"/>
  <c r="D98" i="2"/>
  <c r="J98" i="2"/>
  <c r="L98" i="2"/>
  <c r="I98" i="2"/>
  <c r="M79" i="2"/>
  <c r="M98" i="2" s="1"/>
  <c r="K98" i="2"/>
</calcChain>
</file>

<file path=xl/sharedStrings.xml><?xml version="1.0" encoding="utf-8"?>
<sst xmlns="http://schemas.openxmlformats.org/spreadsheetml/2006/main" count="236" uniqueCount="88">
  <si>
    <t>Данные УК основные финансовые показатели</t>
  </si>
  <si>
    <t>Лен. Обл., д.Кудрово, Европейский п., д.13/1</t>
  </si>
  <si>
    <t>Лен. Обл., д.Кудрово, Европейский п., д.13/3</t>
  </si>
  <si>
    <t>Лен. Обл., д.Мурино, пл.Привокзальная,д.1А,к1</t>
  </si>
  <si>
    <t>Лен. Обл., д.Мурино, пл.Привокзальная,д.1А,к2</t>
  </si>
  <si>
    <t>Лен. Обл., д.Мурино, пл.Привокзальная,д.5А,к1</t>
  </si>
  <si>
    <t>Лен. Обл., д.Мурино, пл.Привокзальная,д.5А,к2</t>
  </si>
  <si>
    <t>Лен. Обл., д.Мурино, пл.Привокзальная,д.5А,к3</t>
  </si>
  <si>
    <t>Лен. Обл., д.Мурино, пл.Привокзальная,д.5А,к4</t>
  </si>
  <si>
    <t>Лен. Обл., д.Мурино, пл.Привокзальная,д.5А,к5</t>
  </si>
  <si>
    <t>Лен. Обл., д.Мурино, пл.Привокзальная,д.5А,к6</t>
  </si>
  <si>
    <t>ВСЕГО</t>
  </si>
  <si>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</si>
  <si>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домами</t>
  </si>
  <si>
    <t>Общая задолженность управляющей организации (индивидуального предпринимателя) перед ресурсоснабжающими организациями на 01.01.2019:</t>
  </si>
  <si>
    <t>Общая задолженность по тепловой энергии, руб.</t>
  </si>
  <si>
    <t>Общая задолженность по тепловой энергии для нужд отопления, руб.</t>
  </si>
  <si>
    <t>Общая задолженность по тепловой энергии для нужд горячего водоснабжения, руб.</t>
  </si>
  <si>
    <t>Общая задолженность по горячей воде, руб.</t>
  </si>
  <si>
    <t>Общая задолженность по холодной воде, руб.</t>
  </si>
  <si>
    <t>Общая задолженность по водоотведению, руб.</t>
  </si>
  <si>
    <t>Общая задолженность по поставке газа, руб.</t>
  </si>
  <si>
    <t>Общая задолженность по электрической энергии, руб.</t>
  </si>
  <si>
    <t>Общая задолженность по прочим ресурсам (услугам), руб.</t>
  </si>
  <si>
    <t>Данные по МКД</t>
  </si>
  <si>
    <t>(отчеты по управлению) - объемы по коммунальным услугам</t>
  </si>
  <si>
    <t>Электроснабжение (начислено потребителям)</t>
  </si>
  <si>
    <t>Начислено потребителям, руб.</t>
  </si>
  <si>
    <t>Общий объем потребления,КВт.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</si>
  <si>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</si>
  <si>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</si>
  <si>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</si>
  <si>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</si>
  <si>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r>
      <t xml:space="preserve">Задолженность перед поставщиком (поставщиками) коммунального ресурса на </t>
    </r>
    <r>
      <rPr>
        <sz val="11"/>
        <color indexed="10"/>
        <rFont val="Arial"/>
        <family val="2"/>
        <charset val="204"/>
      </rPr>
      <t>01.01.2019</t>
    </r>
    <r>
      <rPr>
        <sz val="11"/>
        <color indexed="23"/>
        <rFont val="Arial"/>
        <family val="2"/>
        <charset val="204"/>
      </rPr>
      <t>, руб.</t>
    </r>
  </si>
  <si>
    <t>Размер пени и штрафов, уплаченных поставщику (поставщикам) коммунального ресурса, руб.</t>
  </si>
  <si>
    <t>Холодное водоснабжение (начислено потребителям)</t>
  </si>
  <si>
    <t>Общий объем потребления, м.3</t>
  </si>
  <si>
    <t>Задолженность перед поставщиком (поставщиками) коммунального ресурса, руб.</t>
  </si>
  <si>
    <t>Отопление (начислено потребителям)</t>
  </si>
  <si>
    <t>Общий объем потребления, Гкал.</t>
  </si>
  <si>
    <t>Горячее водоснабжение (начислено потребителям)</t>
  </si>
  <si>
    <t>Водоотведение (начислено потребителям)</t>
  </si>
  <si>
    <t>(управление) - выполняемые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</si>
  <si>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</si>
  <si>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</si>
  <si>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</si>
  <si>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</si>
  <si>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</si>
  <si>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</si>
  <si>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</si>
  <si>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</si>
  <si>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</si>
  <si>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</si>
  <si>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</si>
  <si>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</si>
  <si>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</si>
  <si>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</t>
  </si>
  <si>
    <t>Эксплуатация общедомовых ПУ</t>
  </si>
  <si>
    <t>Телеантенна</t>
  </si>
  <si>
    <t>Радио</t>
  </si>
  <si>
    <t>(отчеты по управлению) - выполненные работы</t>
  </si>
  <si>
    <t>Данные за период управления:</t>
  </si>
  <si>
    <t>Данные по МКД-1</t>
  </si>
  <si>
    <t xml:space="preserve"> (отчеты по управлению) - общая информация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</si>
  <si>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</si>
  <si>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</si>
  <si>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</si>
  <si>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</si>
  <si>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</si>
  <si>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</si>
  <si>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</si>
  <si>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</si>
  <si>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</si>
  <si>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</si>
  <si>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</si>
  <si>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</si>
  <si>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</si>
  <si>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</si>
  <si>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(отчеты по управлению) - коммунальные услуги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</si>
  <si>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</si>
  <si>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</si>
  <si>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</si>
  <si>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</si>
  <si>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(отчеты по управлению) 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</si>
  <si>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</si>
  <si>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</si>
  <si>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</si>
  <si>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Лен. Обл., д.Мурино Боровая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</si>
</sst>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color indexed="54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10"/>
      <name val="Calibri"/>
      <family val="2"/>
      <charset val="204"/>
    </font>
    <font>
      <b/>
      <sz val="11"/>
      <name val="Calibri"/>
      <family val="2"/>
      <charset val="204"/>
    </font>
    <font>
      <b/>
      <sz val="8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23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Arial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b/>
      <sz val="11"/>
      <color indexed="23"/>
      <name val="Arial"/>
      <family val="2"/>
      <charset val="204"/>
    </font>
    <font>
      <b/>
      <sz val="9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2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27"/>
        <bgColor indexed="26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4">
    <xf numFmtId="0" fontId="0" fillId="0" borderId="0" xfId="0"/>
    <xf numFmtId="0" fontId="3" fillId="0" borderId="0" xfId="3"/>
    <xf numFmtId="0" fontId="4" fillId="0" borderId="0" xfId="3" applyFont="1" applyAlignment="1">
      <alignment horizontal="right"/>
    </xf>
    <xf numFmtId="0" fontId="4" fillId="0" borderId="0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4" fillId="0" borderId="1" xfId="3" applyFont="1" applyBorder="1" applyAlignment="1">
      <alignment wrapText="1"/>
    </xf>
    <xf numFmtId="0" fontId="4" fillId="0" borderId="2" xfId="3" applyFont="1" applyBorder="1" applyAlignment="1">
      <alignment wrapText="1"/>
    </xf>
    <xf numFmtId="0" fontId="4" fillId="0" borderId="3" xfId="3" applyFont="1" applyBorder="1" applyAlignment="1">
      <alignment wrapText="1"/>
    </xf>
    <xf numFmtId="0" fontId="4" fillId="0" borderId="1" xfId="3" applyFont="1" applyBorder="1" applyAlignment="1">
      <alignment horizontal="center" vertical="center" wrapText="1"/>
    </xf>
    <xf numFmtId="0" fontId="5" fillId="2" borderId="4" xfId="3" applyFont="1" applyFill="1" applyBorder="1" applyAlignment="1">
      <alignment vertical="center" wrapText="1"/>
    </xf>
    <xf numFmtId="4" fontId="6" fillId="2" borderId="4" xfId="3" applyNumberFormat="1" applyFont="1" applyFill="1" applyBorder="1" applyAlignment="1">
      <alignment vertical="center" wrapText="1"/>
    </xf>
    <xf numFmtId="4" fontId="7" fillId="2" borderId="4" xfId="3" applyNumberFormat="1" applyFont="1" applyFill="1" applyBorder="1" applyAlignment="1">
      <alignment vertical="center" wrapText="1"/>
    </xf>
    <xf numFmtId="0" fontId="5" fillId="3" borderId="4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 vertical="center" wrapText="1" indent="1"/>
    </xf>
    <xf numFmtId="4" fontId="10" fillId="4" borderId="4" xfId="3" applyNumberFormat="1" applyFont="1" applyFill="1" applyBorder="1" applyAlignment="1">
      <alignment horizontal="center" vertical="center" wrapText="1"/>
    </xf>
    <xf numFmtId="0" fontId="3" fillId="4" borderId="0" xfId="3" applyFill="1"/>
    <xf numFmtId="0" fontId="9" fillId="0" borderId="4" xfId="3" applyFont="1" applyFill="1" applyBorder="1" applyAlignment="1">
      <alignment horizontal="left" vertical="center" wrapText="1" indent="1"/>
    </xf>
    <xf numFmtId="4" fontId="10" fillId="0" borderId="4" xfId="3" applyNumberFormat="1" applyFont="1" applyFill="1" applyBorder="1" applyAlignment="1">
      <alignment horizontal="center" vertical="center" wrapText="1"/>
    </xf>
    <xf numFmtId="0" fontId="3" fillId="0" borderId="0" xfId="3" applyFill="1"/>
    <xf numFmtId="0" fontId="9" fillId="2" borderId="4" xfId="3" applyFont="1" applyFill="1" applyBorder="1" applyAlignment="1">
      <alignment horizontal="left" vertical="center" wrapText="1" indent="1"/>
    </xf>
    <xf numFmtId="4" fontId="10" fillId="2" borderId="4" xfId="3" applyNumberFormat="1" applyFont="1" applyFill="1" applyBorder="1" applyAlignment="1">
      <alignment horizontal="center" vertical="center" wrapText="1"/>
    </xf>
    <xf numFmtId="4" fontId="11" fillId="4" borderId="4" xfId="3" applyNumberFormat="1" applyFont="1" applyFill="1" applyBorder="1" applyAlignment="1">
      <alignment horizontal="center" vertical="center" wrapText="1"/>
    </xf>
    <xf numFmtId="4" fontId="11" fillId="4" borderId="5" xfId="3" applyNumberFormat="1" applyFont="1" applyFill="1" applyBorder="1" applyAlignment="1">
      <alignment horizontal="center" vertical="center" wrapText="1"/>
    </xf>
    <xf numFmtId="4" fontId="12" fillId="2" borderId="4" xfId="3" applyNumberFormat="1" applyFont="1" applyFill="1" applyBorder="1" applyAlignment="1">
      <alignment horizontal="center" vertical="center" wrapText="1"/>
    </xf>
    <xf numFmtId="0" fontId="3" fillId="0" borderId="0" xfId="3" applyAlignment="1"/>
    <xf numFmtId="0" fontId="13" fillId="0" borderId="0" xfId="3" applyFont="1"/>
    <xf numFmtId="0" fontId="4" fillId="0" borderId="0" xfId="1" applyFont="1" applyAlignment="1">
      <alignment horizontal="center"/>
    </xf>
    <xf numFmtId="0" fontId="1" fillId="0" borderId="0" xfId="1"/>
    <xf numFmtId="0" fontId="13" fillId="0" borderId="0" xfId="1" applyFont="1"/>
    <xf numFmtId="0" fontId="4" fillId="0" borderId="0" xfId="1" applyFont="1" applyAlignment="1"/>
    <xf numFmtId="0" fontId="1" fillId="0" borderId="0" xfId="1" applyAlignment="1"/>
    <xf numFmtId="0" fontId="13" fillId="0" borderId="4" xfId="1" applyFont="1" applyBorder="1"/>
    <xf numFmtId="0" fontId="8" fillId="2" borderId="4" xfId="1" applyFont="1" applyFill="1" applyBorder="1" applyAlignment="1">
      <alignment horizontal="left" vertical="center"/>
    </xf>
    <xf numFmtId="4" fontId="14" fillId="0" borderId="4" xfId="1" applyNumberFormat="1" applyFont="1" applyBorder="1"/>
    <xf numFmtId="4" fontId="11" fillId="0" borderId="4" xfId="1" applyNumberFormat="1" applyFont="1" applyBorder="1"/>
    <xf numFmtId="0" fontId="15" fillId="0" borderId="4" xfId="1" applyFont="1" applyBorder="1"/>
    <xf numFmtId="0" fontId="14" fillId="0" borderId="0" xfId="3" applyFont="1"/>
    <xf numFmtId="0" fontId="5" fillId="2" borderId="4" xfId="1" applyFont="1" applyFill="1" applyBorder="1" applyAlignment="1">
      <alignment horizontal="left" vertical="center"/>
    </xf>
    <xf numFmtId="4" fontId="16" fillId="0" borderId="4" xfId="1" applyNumberFormat="1" applyFont="1" applyBorder="1"/>
    <xf numFmtId="0" fontId="17" fillId="2" borderId="4" xfId="1" applyFont="1" applyFill="1" applyBorder="1" applyAlignment="1">
      <alignment horizontal="left" vertical="center"/>
    </xf>
    <xf numFmtId="4" fontId="10" fillId="0" borderId="4" xfId="1" applyNumberFormat="1" applyFont="1" applyBorder="1"/>
    <xf numFmtId="0" fontId="17" fillId="4" borderId="4" xfId="1" applyFont="1" applyFill="1" applyBorder="1" applyAlignment="1">
      <alignment horizontal="left" vertical="center"/>
    </xf>
    <xf numFmtId="4" fontId="10" fillId="4" borderId="4" xfId="3" applyNumberFormat="1" applyFont="1" applyFill="1" applyBorder="1"/>
    <xf numFmtId="4" fontId="16" fillId="4" borderId="4" xfId="1" applyNumberFormat="1" applyFont="1" applyFill="1" applyBorder="1"/>
    <xf numFmtId="4" fontId="10" fillId="0" borderId="4" xfId="3" applyNumberFormat="1" applyFont="1" applyBorder="1"/>
    <xf numFmtId="4" fontId="11" fillId="4" borderId="4" xfId="3" applyNumberFormat="1" applyFont="1" applyFill="1" applyBorder="1"/>
    <xf numFmtId="4" fontId="11" fillId="0" borderId="4" xfId="3" applyNumberFormat="1" applyFont="1" applyBorder="1"/>
    <xf numFmtId="0" fontId="9" fillId="0" borderId="0" xfId="3" applyFont="1"/>
    <xf numFmtId="4" fontId="3" fillId="4" borderId="4" xfId="3" applyNumberFormat="1" applyFill="1" applyBorder="1"/>
    <xf numFmtId="4" fontId="16" fillId="0" borderId="4" xfId="3" applyNumberFormat="1" applyFont="1" applyBorder="1"/>
    <xf numFmtId="4" fontId="3" fillId="4" borderId="0" xfId="3" applyNumberFormat="1" applyFill="1"/>
    <xf numFmtId="0" fontId="1" fillId="0" borderId="4" xfId="1" applyBorder="1" applyAlignment="1"/>
    <xf numFmtId="0" fontId="19" fillId="0" borderId="0" xfId="1" applyFont="1" applyAlignment="1"/>
    <xf numFmtId="4" fontId="10" fillId="0" borderId="0" xfId="1" applyNumberFormat="1" applyFont="1"/>
    <xf numFmtId="4" fontId="1" fillId="0" borderId="0" xfId="1" applyNumberFormat="1"/>
    <xf numFmtId="4" fontId="3" fillId="0" borderId="0" xfId="3" applyNumberFormat="1"/>
    <xf numFmtId="0" fontId="19" fillId="0" borderId="0" xfId="3" applyFont="1"/>
    <xf numFmtId="0" fontId="17" fillId="5" borderId="4" xfId="3" applyFont="1" applyFill="1" applyBorder="1" applyAlignment="1">
      <alignment vertical="center" wrapText="1"/>
    </xf>
    <xf numFmtId="4" fontId="20" fillId="0" borderId="6" xfId="3" applyNumberFormat="1" applyFont="1" applyBorder="1"/>
    <xf numFmtId="4" fontId="21" fillId="0" borderId="7" xfId="3" applyNumberFormat="1" applyFont="1" applyBorder="1"/>
    <xf numFmtId="0" fontId="3" fillId="0" borderId="4" xfId="3" applyBorder="1"/>
    <xf numFmtId="0" fontId="3" fillId="0" borderId="5" xfId="3" applyBorder="1"/>
    <xf numFmtId="4" fontId="4" fillId="0" borderId="8" xfId="3" applyNumberFormat="1" applyFont="1" applyBorder="1"/>
    <xf numFmtId="4" fontId="20" fillId="0" borderId="4" xfId="3" applyNumberFormat="1" applyFont="1" applyBorder="1"/>
    <xf numFmtId="4" fontId="21" fillId="0" borderId="5" xfId="3" applyNumberFormat="1" applyFont="1" applyBorder="1"/>
    <xf numFmtId="4" fontId="4" fillId="0" borderId="9" xfId="3" applyNumberFormat="1" applyFont="1" applyBorder="1"/>
    <xf numFmtId="4" fontId="21" fillId="0" borderId="5" xfId="3" applyNumberFormat="1" applyFont="1" applyFill="1" applyBorder="1"/>
    <xf numFmtId="4" fontId="20" fillId="0" borderId="10" xfId="3" applyNumberFormat="1" applyFont="1" applyBorder="1"/>
    <xf numFmtId="4" fontId="21" fillId="0" borderId="11" xfId="3" applyNumberFormat="1" applyFont="1" applyBorder="1"/>
    <xf numFmtId="0" fontId="3" fillId="0" borderId="10" xfId="3" applyBorder="1"/>
    <xf numFmtId="0" fontId="3" fillId="0" borderId="11" xfId="3" applyBorder="1"/>
    <xf numFmtId="4" fontId="4" fillId="0" borderId="3" xfId="3" applyNumberFormat="1" applyFont="1" applyBorder="1"/>
    <xf numFmtId="4" fontId="4" fillId="0" borderId="12" xfId="3" applyNumberFormat="1" applyFont="1" applyBorder="1"/>
    <xf numFmtId="4" fontId="4" fillId="0" borderId="13" xfId="3" applyNumberFormat="1" applyFont="1" applyBorder="1"/>
    <xf numFmtId="0" fontId="22" fillId="0" borderId="4" xfId="2" applyNumberFormat="1" applyFont="1" applyBorder="1" applyAlignment="1">
      <alignment horizontal="left" vertical="top" wrapText="1" indent="2"/>
    </xf>
    <xf numFmtId="0" fontId="23" fillId="0" borderId="4" xfId="1" applyFont="1" applyBorder="1"/>
    <xf numFmtId="0" fontId="3" fillId="0" borderId="0" xfId="3" applyAlignment="1">
      <alignment wrapText="1"/>
    </xf>
    <xf numFmtId="0" fontId="17" fillId="2" borderId="0" xfId="3" applyFont="1" applyFill="1" applyAlignment="1">
      <alignment vertical="center" wrapText="1"/>
    </xf>
    <xf numFmtId="0" fontId="19" fillId="0" borderId="0" xfId="3" applyFont="1" applyAlignment="1">
      <alignment wrapText="1"/>
    </xf>
    <xf numFmtId="0" fontId="17" fillId="5" borderId="5" xfId="3" applyFont="1" applyFill="1" applyBorder="1" applyAlignment="1">
      <alignment horizontal="left" vertical="top" wrapText="1"/>
    </xf>
    <xf numFmtId="4" fontId="24" fillId="0" borderId="4" xfId="3" applyNumberFormat="1" applyFont="1" applyBorder="1"/>
    <xf numFmtId="4" fontId="4" fillId="0" borderId="14" xfId="3" applyNumberFormat="1" applyFont="1" applyBorder="1"/>
    <xf numFmtId="0" fontId="4" fillId="0" borderId="4" xfId="3" applyFont="1" applyBorder="1"/>
    <xf numFmtId="0" fontId="25" fillId="5" borderId="5" xfId="3" applyFont="1" applyFill="1" applyBorder="1" applyAlignment="1">
      <alignment horizontal="left" vertical="top" wrapText="1"/>
    </xf>
    <xf numFmtId="4" fontId="26" fillId="0" borderId="4" xfId="3" applyNumberFormat="1" applyFont="1" applyBorder="1"/>
    <xf numFmtId="0" fontId="27" fillId="0" borderId="0" xfId="3" applyFont="1"/>
    <xf numFmtId="4" fontId="4" fillId="0" borderId="1" xfId="3" applyNumberFormat="1" applyFont="1" applyBorder="1"/>
    <xf numFmtId="4" fontId="4" fillId="0" borderId="2" xfId="3" applyNumberFormat="1" applyFont="1" applyBorder="1"/>
    <xf numFmtId="0" fontId="4" fillId="0" borderId="16" xfId="3" applyFont="1" applyBorder="1" applyAlignment="1">
      <alignment horizontal="center" vertical="center" wrapText="1"/>
    </xf>
    <xf numFmtId="0" fontId="28" fillId="2" borderId="4" xfId="3" applyFont="1" applyFill="1" applyBorder="1" applyAlignment="1">
      <alignment horizontal="left" vertical="top" wrapText="1"/>
    </xf>
    <xf numFmtId="4" fontId="5" fillId="2" borderId="4" xfId="3" applyNumberFormat="1" applyFont="1" applyFill="1" applyBorder="1" applyAlignment="1">
      <alignment horizontal="right" vertical="center" wrapText="1" indent="1"/>
    </xf>
    <xf numFmtId="4" fontId="8" fillId="0" borderId="4" xfId="3" applyNumberFormat="1" applyFont="1" applyFill="1" applyBorder="1" applyAlignment="1">
      <alignment horizontal="right" vertical="center" wrapText="1" indent="1"/>
    </xf>
    <xf numFmtId="4" fontId="3" fillId="0" borderId="4" xfId="3" applyNumberFormat="1" applyBorder="1"/>
    <xf numFmtId="4" fontId="9" fillId="2" borderId="4" xfId="3" applyNumberFormat="1" applyFont="1" applyFill="1" applyBorder="1" applyAlignment="1">
      <alignment horizontal="right" vertical="center" wrapText="1" indent="1"/>
    </xf>
    <xf numFmtId="0" fontId="29" fillId="2" borderId="4" xfId="3" applyFont="1" applyFill="1" applyBorder="1" applyAlignment="1">
      <alignment horizontal="left" vertical="top" wrapText="1"/>
    </xf>
    <xf numFmtId="4" fontId="14" fillId="2" borderId="4" xfId="3" applyNumberFormat="1" applyFont="1" applyFill="1" applyBorder="1" applyAlignment="1">
      <alignment horizontal="right" vertical="center" wrapText="1" indent="1"/>
    </xf>
    <xf numFmtId="0" fontId="17" fillId="5" borderId="5" xfId="3" applyFont="1" applyFill="1" applyBorder="1" applyAlignment="1">
      <alignment vertical="top" wrapText="1"/>
    </xf>
    <xf numFmtId="4" fontId="4" fillId="0" borderId="4" xfId="3" applyNumberFormat="1" applyFont="1" applyBorder="1"/>
    <xf numFmtId="4" fontId="5" fillId="2" borderId="4" xfId="0" applyNumberFormat="1" applyFont="1" applyFill="1" applyBorder="1" applyAlignment="1">
      <alignment horizontal="right" vertical="center" wrapText="1" indent="1"/>
    </xf>
    <xf numFmtId="0" fontId="3" fillId="0" borderId="4" xfId="3" applyFill="1" applyBorder="1"/>
    <xf numFmtId="4" fontId="0" fillId="0" borderId="0" xfId="0" applyNumberFormat="1"/>
    <xf numFmtId="0" fontId="17" fillId="2" borderId="4" xfId="3" applyFont="1" applyFill="1" applyBorder="1" applyAlignment="1">
      <alignment horizontal="left" vertical="center" wrapText="1" indent="1"/>
    </xf>
    <xf numFmtId="3" fontId="30" fillId="2" borderId="4" xfId="3" applyNumberFormat="1" applyFont="1" applyFill="1" applyBorder="1" applyAlignment="1">
      <alignment vertical="center" wrapText="1"/>
    </xf>
    <xf numFmtId="4" fontId="22" fillId="0" borderId="4" xfId="3" applyNumberFormat="1" applyFont="1" applyFill="1" applyBorder="1" applyAlignment="1">
      <alignment horizontal="right" vertical="center" wrapText="1" indent="1"/>
    </xf>
    <xf numFmtId="3" fontId="30" fillId="0" borderId="4" xfId="3" applyNumberFormat="1" applyFont="1" applyFill="1" applyBorder="1" applyAlignment="1">
      <alignment vertical="center" wrapText="1"/>
    </xf>
    <xf numFmtId="3" fontId="3" fillId="0" borderId="4" xfId="3" applyNumberFormat="1" applyBorder="1"/>
    <xf numFmtId="3" fontId="30" fillId="2" borderId="4" xfId="0" applyNumberFormat="1" applyFont="1" applyFill="1" applyBorder="1" applyAlignment="1">
      <alignment vertical="center" wrapText="1"/>
    </xf>
    <xf numFmtId="3" fontId="31" fillId="2" borderId="4" xfId="3" applyNumberFormat="1" applyFont="1" applyFill="1" applyBorder="1" applyAlignment="1">
      <alignment vertical="center" wrapText="1"/>
    </xf>
    <xf numFmtId="0" fontId="20" fillId="0" borderId="0" xfId="3" applyFont="1"/>
    <xf numFmtId="3" fontId="3" fillId="0" borderId="0" xfId="3" applyNumberFormat="1"/>
    <xf numFmtId="0" fontId="4" fillId="0" borderId="0" xfId="3" applyFont="1" applyBorder="1" applyAlignment="1">
      <alignment horizontal="center"/>
    </xf>
    <xf numFmtId="0" fontId="4" fillId="0" borderId="15" xfId="3" applyFont="1" applyBorder="1" applyAlignment="1">
      <alignment horizontal="center"/>
    </xf>
  </cellXfs>
  <cellStyles count="4">
    <cellStyle name="Excel Built-in Normal" xfId="3"/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17171"/>
      <rgbColor rgb="009999FF"/>
      <rgbColor rgb="007030A0"/>
      <rgbColor rgb="00FAFAFA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8585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3" sqref="F23"/>
    </sheetView>
  </sheetViews>
  <sheetFormatPr defaultColWidth="10.140625" defaultRowHeight="15" x14ac:dyDescent="0.25"/>
  <cols>
    <col min="1" max="1" width="90.140625" style="1" customWidth="1"/>
    <col min="2" max="2" width="15.140625" style="1" customWidth="1"/>
    <col min="3" max="6" width="14.7109375" style="1" customWidth="1"/>
    <col min="7" max="7" width="14.140625" style="2" customWidth="1"/>
    <col min="8" max="10" width="13.85546875" style="1" customWidth="1"/>
    <col min="11" max="12" width="13.140625" style="1" customWidth="1"/>
    <col min="13" max="13" width="14" style="1" customWidth="1"/>
    <col min="14" max="16384" width="10.140625" style="1"/>
  </cols>
  <sheetData>
    <row r="1" spans="1:13" x14ac:dyDescent="0.25">
      <c r="B1" s="112"/>
      <c r="C1" s="112"/>
      <c r="D1" s="112"/>
      <c r="E1" s="112"/>
      <c r="F1" s="4"/>
    </row>
    <row r="2" spans="1:13" ht="75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87</v>
      </c>
      <c r="M2" s="9" t="s">
        <v>11</v>
      </c>
    </row>
    <row r="3" spans="1:13" ht="32.25" customHeight="1" x14ac:dyDescent="0.25">
      <c r="A3" s="10" t="s">
        <v>12</v>
      </c>
      <c r="B3" s="11">
        <f>'Данные по МКД-6'!B20</f>
        <v>8504003.3200000003</v>
      </c>
      <c r="C3" s="11">
        <f>'Данные по МКД-6'!C20</f>
        <v>4231106.2300000004</v>
      </c>
      <c r="D3" s="11">
        <f>'Данные по МКД-6'!D20</f>
        <v>12657239.41</v>
      </c>
      <c r="E3" s="11">
        <f>'Данные по МКД-6'!E20</f>
        <v>5006246.8400000008</v>
      </c>
      <c r="F3" s="11">
        <f>'Данные по МКД-6'!F20</f>
        <v>3619535.1800000006</v>
      </c>
      <c r="G3" s="11">
        <f>'Данные по МКД-6'!G20</f>
        <v>2736931.5700000003</v>
      </c>
      <c r="H3" s="11">
        <f>'Данные по МКД-6'!H20</f>
        <v>3643533.0400000005</v>
      </c>
      <c r="I3" s="11">
        <f>'Данные по МКД-6'!I20</f>
        <v>3100184.0500000003</v>
      </c>
      <c r="J3" s="11">
        <f>'Данные по МКД-6'!J20</f>
        <v>4481415.25</v>
      </c>
      <c r="K3" s="11">
        <f>'Данные по МКД-6'!K20</f>
        <v>4325654</v>
      </c>
      <c r="L3" s="11">
        <f>'Данные по МКД-6'!L20</f>
        <v>990768.05</v>
      </c>
      <c r="M3" s="12">
        <f>SUM(B3:L3)</f>
        <v>53296616.939999998</v>
      </c>
    </row>
    <row r="4" spans="1:13" ht="28.5" x14ac:dyDescent="0.25">
      <c r="A4" s="13" t="s">
        <v>13</v>
      </c>
      <c r="B4" s="11">
        <f>'Данные по МКД-2'!C21</f>
        <v>8887497.0999999996</v>
      </c>
      <c r="C4" s="11">
        <f>'Данные по МКД-2'!D21</f>
        <v>4356578.75</v>
      </c>
      <c r="D4" s="11">
        <f>'Данные по МКД-2'!E21</f>
        <v>12931187.039999999</v>
      </c>
      <c r="E4" s="11">
        <f>'Данные по МКД-2'!F21</f>
        <v>4859732.6000000006</v>
      </c>
      <c r="F4" s="11">
        <f>'Данные по МКД-2'!G21</f>
        <v>4119667.1100000003</v>
      </c>
      <c r="G4" s="11">
        <f>'Данные по МКД-2'!H21</f>
        <v>2687815.1800000006</v>
      </c>
      <c r="H4" s="11">
        <f>'Данные по МКД-2'!I21</f>
        <v>3721676.22</v>
      </c>
      <c r="I4" s="11">
        <f>'Данные по МКД-2'!J21</f>
        <v>3386683.0000000005</v>
      </c>
      <c r="J4" s="11">
        <f>'Данные по МКД-2'!K21</f>
        <v>4838102.41</v>
      </c>
      <c r="K4" s="11">
        <f>'Данные по МКД-2'!L21</f>
        <v>4272223.25</v>
      </c>
      <c r="L4" s="11">
        <f>'Данные по МКД-2'!M21</f>
        <v>892321.51</v>
      </c>
      <c r="M4" s="12">
        <f>SUM(B4:L4)</f>
        <v>54953484.169999994</v>
      </c>
    </row>
    <row r="5" spans="1:13" ht="30" x14ac:dyDescent="0.25">
      <c r="A5" s="14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7" customFormat="1" x14ac:dyDescent="0.25">
      <c r="A6" s="15" t="s">
        <v>15</v>
      </c>
      <c r="B6" s="16">
        <f>'Данные по МКД-4'!B51</f>
        <v>827274.85</v>
      </c>
      <c r="C6" s="16">
        <f>'Данные по МКД-4'!C51</f>
        <v>445456.77999999997</v>
      </c>
      <c r="D6" s="16">
        <f>'Данные по МКД-4'!D51</f>
        <v>568362.43000000005</v>
      </c>
      <c r="E6" s="16">
        <f>'Данные по МКД-4'!E51</f>
        <v>226509.84</v>
      </c>
      <c r="F6" s="16">
        <f>'Данные по МКД-4'!F51</f>
        <v>149677.53</v>
      </c>
      <c r="G6" s="16">
        <f>'Данные по МКД-4'!G51</f>
        <v>165585.72</v>
      </c>
      <c r="H6" s="16">
        <f>'Данные по МКД-4'!H51</f>
        <v>337986.73</v>
      </c>
      <c r="I6" s="16">
        <f>'Данные по МКД-4'!I51</f>
        <v>300904.09999999998</v>
      </c>
      <c r="J6" s="16">
        <f>'Данные по МКД-4'!J51</f>
        <v>362744.41000000003</v>
      </c>
      <c r="K6" s="16">
        <f>'Данные по МКД-4'!K51</f>
        <v>350203.93</v>
      </c>
      <c r="L6" s="16">
        <f>'Данные по МКД-4'!L51</f>
        <v>177224.88</v>
      </c>
      <c r="M6" s="12">
        <f>SUM(B6:L6)</f>
        <v>3911931.2000000007</v>
      </c>
    </row>
    <row r="7" spans="1:13" s="20" customFormat="1" x14ac:dyDescent="0.2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2"/>
    </row>
    <row r="8" spans="1:13" s="20" customFormat="1" ht="15" customHeight="1" x14ac:dyDescent="0.25">
      <c r="A8" s="18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2"/>
    </row>
    <row r="9" spans="1:13" s="17" customFormat="1" x14ac:dyDescent="0.25">
      <c r="A9" s="15" t="s">
        <v>18</v>
      </c>
      <c r="B9" s="16">
        <f>'Данные по МКД-4'!B68</f>
        <v>135838.39999999999</v>
      </c>
      <c r="C9" s="16">
        <f>'Данные по МКД-4'!C68</f>
        <v>62058.15</v>
      </c>
      <c r="D9" s="16">
        <f>'Данные по МКД-4'!D68</f>
        <v>155031.16999999998</v>
      </c>
      <c r="E9" s="16">
        <f>'Данные по МКД-4'!E68</f>
        <v>59466.6</v>
      </c>
      <c r="F9" s="16">
        <f>'Данные по МКД-4'!F68</f>
        <v>111949.52999999998</v>
      </c>
      <c r="G9" s="16">
        <f>'Данные по МКД-4'!G68</f>
        <v>84991.010000000009</v>
      </c>
      <c r="H9" s="16">
        <f>'Данные по МКД-4'!H68</f>
        <v>45828.01</v>
      </c>
      <c r="I9" s="16">
        <f>'Данные по МКД-4'!I68</f>
        <v>40667.79</v>
      </c>
      <c r="J9" s="16">
        <f>'Данные по МКД-4'!J68</f>
        <v>109864.42</v>
      </c>
      <c r="K9" s="16">
        <f>'Данные по МКД-4'!K68</f>
        <v>83189.47</v>
      </c>
      <c r="L9" s="16">
        <f>'Данные по МКД-4'!L68</f>
        <v>222555.87</v>
      </c>
      <c r="M9" s="12">
        <f>SUM(B9:L9)</f>
        <v>1111440.42</v>
      </c>
    </row>
    <row r="10" spans="1:13" s="17" customFormat="1" x14ac:dyDescent="0.25">
      <c r="A10" s="15" t="s">
        <v>19</v>
      </c>
      <c r="B10" s="16">
        <f>'Данные по МКД-4'!B34</f>
        <v>0</v>
      </c>
      <c r="C10" s="16">
        <f>'Данные по МКД-4'!C34</f>
        <v>0</v>
      </c>
      <c r="D10" s="16">
        <f>'Данные по МКД-4'!D34</f>
        <v>596852.63</v>
      </c>
      <c r="E10" s="16">
        <f>'Данные по МКД-4'!E34</f>
        <v>301384.18</v>
      </c>
      <c r="F10" s="16">
        <f>'Данные по МКД-4'!F34</f>
        <v>155330.65</v>
      </c>
      <c r="G10" s="16">
        <f>'Данные по МКД-4'!G34</f>
        <v>127861.07</v>
      </c>
      <c r="H10" s="16">
        <f>'Данные по МКД-4'!H34</f>
        <v>243741.51</v>
      </c>
      <c r="I10" s="16">
        <f>'Данные по МКД-4'!I34</f>
        <v>199747.41</v>
      </c>
      <c r="J10" s="16">
        <f>'Данные по МКД-4'!J34</f>
        <v>338214.37</v>
      </c>
      <c r="K10" s="16">
        <f>'Данные по МКД-4'!K34</f>
        <v>330199.51</v>
      </c>
      <c r="L10" s="16">
        <f>'Данные по МКД-4'!L34</f>
        <v>114688.83</v>
      </c>
      <c r="M10" s="12">
        <f>SUM(B10:L10)</f>
        <v>2408020.16</v>
      </c>
    </row>
    <row r="11" spans="1:13" s="17" customFormat="1" x14ac:dyDescent="0.25">
      <c r="A11" s="15" t="s">
        <v>20</v>
      </c>
      <c r="B11" s="16">
        <f>'Данные по МКД-4'!B85</f>
        <v>30</v>
      </c>
      <c r="C11" s="16">
        <f>'Данные по МКД-4'!C85</f>
        <v>0</v>
      </c>
      <c r="D11" s="16">
        <f>'Данные по МКД-4'!D85</f>
        <v>521246.94</v>
      </c>
      <c r="E11" s="16">
        <f>'Данные по МКД-4'!E85</f>
        <v>231593.44</v>
      </c>
      <c r="F11" s="16">
        <f>'Данные по МКД-4'!F85</f>
        <v>185422.66</v>
      </c>
      <c r="G11" s="16">
        <f>'Данные по МКД-4'!G85</f>
        <v>152631.42000000001</v>
      </c>
      <c r="H11" s="16">
        <f>'Данные по МКД-4'!H85</f>
        <v>187298.93</v>
      </c>
      <c r="I11" s="16">
        <f>'Данные по МКД-4'!I85</f>
        <v>153492.43</v>
      </c>
      <c r="J11" s="16">
        <f>'Данные по МКД-4'!J85</f>
        <v>213752.24</v>
      </c>
      <c r="K11" s="16">
        <f>'Данные по МКД-4'!K85</f>
        <v>253736.08</v>
      </c>
      <c r="L11" s="16">
        <f>'Данные по МКД-4'!L85</f>
        <v>88130.64</v>
      </c>
      <c r="M11" s="12">
        <f>SUM(B11:L11)</f>
        <v>1987334.7799999998</v>
      </c>
    </row>
    <row r="12" spans="1:13" x14ac:dyDescent="0.25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2"/>
    </row>
    <row r="13" spans="1:13" s="17" customFormat="1" x14ac:dyDescent="0.25">
      <c r="A13" s="15" t="s">
        <v>22</v>
      </c>
      <c r="B13" s="23">
        <f>'Данные по МКД-4'!B17</f>
        <v>0</v>
      </c>
      <c r="C13" s="23">
        <f>'Данные по МКД-4'!C17</f>
        <v>0</v>
      </c>
      <c r="D13" s="23">
        <f>'Данные по МКД-4'!D17</f>
        <v>0.04</v>
      </c>
      <c r="E13" s="23">
        <f>'Данные по МКД-4'!E17</f>
        <v>0</v>
      </c>
      <c r="F13" s="23">
        <f>'Данные по МКД-4'!F17</f>
        <v>0</v>
      </c>
      <c r="G13" s="23">
        <f>'Данные по МКД-4'!G17</f>
        <v>0</v>
      </c>
      <c r="H13" s="23">
        <f>'Данные по МКД-4'!H17</f>
        <v>0</v>
      </c>
      <c r="I13" s="23">
        <f>'Данные по МКД-4'!I17</f>
        <v>0</v>
      </c>
      <c r="J13" s="23">
        <f>'Данные по МКД-4'!J17</f>
        <v>0</v>
      </c>
      <c r="K13" s="23">
        <f>'Данные по МКД-4'!K17</f>
        <v>0</v>
      </c>
      <c r="L13" s="24">
        <f>'Данные по МКД-4'!L17</f>
        <v>0</v>
      </c>
      <c r="M13" s="12">
        <f>SUM(B13:L13)</f>
        <v>0.04</v>
      </c>
    </row>
    <row r="14" spans="1:13" x14ac:dyDescent="0.25">
      <c r="A14" s="21" t="s">
        <v>23</v>
      </c>
      <c r="B14" s="22"/>
      <c r="C14" s="22"/>
      <c r="D14" s="22"/>
      <c r="E14" s="22"/>
      <c r="F14" s="22"/>
      <c r="G14" s="25"/>
      <c r="H14" s="25"/>
      <c r="I14" s="25"/>
      <c r="J14" s="25"/>
      <c r="K14" s="25"/>
      <c r="L14" s="25"/>
      <c r="M14" s="12"/>
    </row>
  </sheetData>
  <sheetProtection selectLockedCells="1" selectUnlockedCells="1"/>
  <mergeCells count="1">
    <mergeCell ref="B1:E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="85" zoomScaleNormal="85" workbookViewId="0">
      <pane xSplit="1" ySplit="3" topLeftCell="B66" activePane="bottomRight" state="frozen"/>
      <selection pane="topRight" activeCell="B1" sqref="B1"/>
      <selection pane="bottomLeft" activeCell="A70" sqref="A70"/>
      <selection pane="bottomRight" activeCell="L68" sqref="L68"/>
    </sheetView>
  </sheetViews>
  <sheetFormatPr defaultColWidth="10.140625" defaultRowHeight="15" x14ac:dyDescent="0.25"/>
  <cols>
    <col min="1" max="1" width="108" style="26" customWidth="1"/>
    <col min="2" max="5" width="14.85546875" style="1" customWidth="1"/>
    <col min="6" max="6" width="14.85546875" style="5" customWidth="1"/>
    <col min="7" max="7" width="14.85546875" style="27" customWidth="1"/>
    <col min="8" max="8" width="14.85546875" style="1" customWidth="1"/>
    <col min="9" max="12" width="13.5703125" style="1" customWidth="1"/>
    <col min="13" max="13" width="14.140625" style="1" customWidth="1"/>
    <col min="14" max="16384" width="10.140625" style="1"/>
  </cols>
  <sheetData>
    <row r="1" spans="1:13" x14ac:dyDescent="0.2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75" x14ac:dyDescent="0.25">
      <c r="A2" s="31" t="s">
        <v>25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87</v>
      </c>
      <c r="M2" s="9" t="s">
        <v>11</v>
      </c>
    </row>
    <row r="3" spans="1:13" ht="14.25" customHeight="1" x14ac:dyDescent="0.25">
      <c r="A3" s="32"/>
      <c r="B3" s="29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33"/>
    </row>
    <row r="4" spans="1:13" s="38" customFormat="1" x14ac:dyDescent="0.25">
      <c r="A4" s="34" t="s">
        <v>26</v>
      </c>
      <c r="B4" s="35"/>
      <c r="C4" s="36"/>
      <c r="D4" s="35"/>
      <c r="E4" s="35"/>
      <c r="F4" s="35"/>
      <c r="G4" s="35"/>
      <c r="H4" s="35"/>
      <c r="I4" s="35"/>
      <c r="J4" s="35"/>
      <c r="K4" s="35"/>
      <c r="L4" s="35"/>
      <c r="M4" s="37"/>
    </row>
    <row r="5" spans="1:13" s="38" customFormat="1" x14ac:dyDescent="0.25">
      <c r="A5" s="39" t="s">
        <v>27</v>
      </c>
      <c r="B5" s="36">
        <v>2312237.91</v>
      </c>
      <c r="C5" s="36">
        <v>1028230.65</v>
      </c>
      <c r="D5" s="36">
        <v>2714370.34</v>
      </c>
      <c r="E5" s="36">
        <v>1451783.02</v>
      </c>
      <c r="F5" s="36">
        <v>1321409.74</v>
      </c>
      <c r="G5" s="36">
        <v>922608.86</v>
      </c>
      <c r="H5" s="36">
        <v>976547.21</v>
      </c>
      <c r="I5" s="36">
        <v>827432.53</v>
      </c>
      <c r="J5" s="36">
        <v>1461272.8</v>
      </c>
      <c r="K5" s="36">
        <v>1345207.51</v>
      </c>
      <c r="L5" s="36">
        <v>264742.65000000002</v>
      </c>
      <c r="M5" s="40">
        <f>SUM(B5:L5)</f>
        <v>14625843.220000001</v>
      </c>
    </row>
    <row r="6" spans="1:13" s="38" customFormat="1" x14ac:dyDescent="0.25">
      <c r="A6" s="34"/>
      <c r="B6" s="40"/>
      <c r="C6" s="36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41" t="s">
        <v>28</v>
      </c>
      <c r="B7" s="42">
        <f>B5/2.49</f>
        <v>928609.60240963858</v>
      </c>
      <c r="C7" s="42">
        <f t="shared" ref="C7" si="0">C5/2.49</f>
        <v>412944.03614457831</v>
      </c>
      <c r="D7" s="42">
        <f>D5/2.47</f>
        <v>1098935.3603238864</v>
      </c>
      <c r="E7" s="42">
        <f>E5/2.47</f>
        <v>587766.40485829953</v>
      </c>
      <c r="F7" s="42">
        <f>F5/2.47</f>
        <v>534983.70040485822</v>
      </c>
      <c r="G7" s="42">
        <f t="shared" ref="G7:K7" si="1">G5/2.47</f>
        <v>373525.85425101209</v>
      </c>
      <c r="H7" s="42">
        <f t="shared" si="1"/>
        <v>395363.2429149797</v>
      </c>
      <c r="I7" s="42">
        <f t="shared" si="1"/>
        <v>334992.92712550604</v>
      </c>
      <c r="J7" s="42">
        <f t="shared" si="1"/>
        <v>591608.42105263157</v>
      </c>
      <c r="K7" s="42">
        <f t="shared" si="1"/>
        <v>544618.42510121455</v>
      </c>
      <c r="L7" s="42">
        <f>L5/2.41</f>
        <v>109851.72199170124</v>
      </c>
      <c r="M7" s="40">
        <f t="shared" ref="M7:M11" si="2">SUM(B7:L7)</f>
        <v>5913199.6965783071</v>
      </c>
    </row>
    <row r="8" spans="1:13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0"/>
    </row>
    <row r="9" spans="1:13" x14ac:dyDescent="0.25">
      <c r="A9" s="41" t="s">
        <v>29</v>
      </c>
      <c r="B9" s="42">
        <f>B93*0.17</f>
        <v>2384700.9326160001</v>
      </c>
      <c r="C9" s="42">
        <f>C93*0.15</f>
        <v>1016719.1646899999</v>
      </c>
      <c r="D9" s="42">
        <f>D93*0.18</f>
        <v>2633422.0581900002</v>
      </c>
      <c r="E9" s="42">
        <f>E93*0.22</f>
        <v>1383470.5130400001</v>
      </c>
      <c r="F9" s="42">
        <f>F93*0.24</f>
        <v>1360058.31648</v>
      </c>
      <c r="G9" s="42">
        <f>G93*0.22</f>
        <v>887361.15327200003</v>
      </c>
      <c r="H9" s="42">
        <f>H93*0.18</f>
        <v>892387.74529799982</v>
      </c>
      <c r="I9" s="42">
        <f>I93*0.19</f>
        <v>762318.81251600001</v>
      </c>
      <c r="J9" s="42">
        <f>J93*0.2</f>
        <v>1402345.3817999999</v>
      </c>
      <c r="K9" s="42">
        <f>K93*0.19</f>
        <v>1293833.9003300001</v>
      </c>
      <c r="L9" s="42">
        <f>L93*0.2</f>
        <v>174091.51926000003</v>
      </c>
      <c r="M9" s="40">
        <f t="shared" si="2"/>
        <v>14190709.497491999</v>
      </c>
    </row>
    <row r="10" spans="1:13" x14ac:dyDescent="0.2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0"/>
    </row>
    <row r="11" spans="1:13" x14ac:dyDescent="0.25">
      <c r="A11" s="41" t="s">
        <v>30</v>
      </c>
      <c r="B11" s="42">
        <f>B94*0.17</f>
        <v>418251.75915199966</v>
      </c>
      <c r="C11" s="42">
        <f>C94*0.15</f>
        <v>157748.69097</v>
      </c>
      <c r="D11" s="42">
        <f>D94*0.18</f>
        <v>1521434.4837299995</v>
      </c>
      <c r="E11" s="42">
        <f>E94*0.22</f>
        <v>405725.56120799982</v>
      </c>
      <c r="F11" s="42">
        <f>F94*0.24</f>
        <v>386274.31247999979</v>
      </c>
      <c r="G11" s="42">
        <f>G94*0.22</f>
        <v>178172.84397000013</v>
      </c>
      <c r="H11" s="42">
        <f>H94*0.18</f>
        <v>204143.95909799999</v>
      </c>
      <c r="I11" s="42">
        <f>I94*0.19</f>
        <v>318050.51922799979</v>
      </c>
      <c r="J11" s="42">
        <f>J94*0.2</f>
        <v>278817.78223999997</v>
      </c>
      <c r="K11" s="42">
        <f>K94*0.19</f>
        <v>200635.84162200021</v>
      </c>
      <c r="L11" s="42">
        <f>L94*0.2</f>
        <v>86782.222080000036</v>
      </c>
      <c r="M11" s="40">
        <f t="shared" si="2"/>
        <v>4156037.9757779995</v>
      </c>
    </row>
    <row r="12" spans="1:13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</row>
    <row r="13" spans="1:13" s="17" customFormat="1" x14ac:dyDescent="0.25">
      <c r="A13" s="43" t="s">
        <v>31</v>
      </c>
      <c r="B13" s="44">
        <f>2222430.05+577342.08</f>
        <v>2799772.13</v>
      </c>
      <c r="C13" s="44">
        <f>989735.72+245219.57</f>
        <v>1234955.29</v>
      </c>
      <c r="D13" s="44">
        <f>8836373.6+741356.28</f>
        <v>9577729.879999999</v>
      </c>
      <c r="E13" s="44">
        <f>1137750.98+321306.01</f>
        <v>1459056.99</v>
      </c>
      <c r="F13" s="44">
        <f>1247349.53+404771.33</f>
        <v>1652120.86</v>
      </c>
      <c r="G13" s="44">
        <f>818119.46+175083.43</f>
        <v>993202.8899999999</v>
      </c>
      <c r="H13" s="44">
        <f>893238.75+338459.83</f>
        <v>1231698.58</v>
      </c>
      <c r="I13" s="44">
        <f>758594.35+228045.13</f>
        <v>986639.48</v>
      </c>
      <c r="J13" s="44">
        <f>760604.99+228664</f>
        <v>989268.99</v>
      </c>
      <c r="K13" s="44">
        <f>1254721.75+319196.65</f>
        <v>1573918.4</v>
      </c>
      <c r="L13" s="44">
        <f>174497.6+8661.06</f>
        <v>183158.66</v>
      </c>
      <c r="M13" s="45">
        <f>SUM(B13:L13)</f>
        <v>22681522.149999995</v>
      </c>
    </row>
    <row r="14" spans="1:13" x14ac:dyDescent="0.25">
      <c r="A14" s="4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5"/>
    </row>
    <row r="15" spans="1:13" s="17" customFormat="1" x14ac:dyDescent="0.25">
      <c r="A15" s="43" t="s">
        <v>32</v>
      </c>
      <c r="B15" s="47">
        <v>2799772.13</v>
      </c>
      <c r="C15" s="47">
        <v>1234955.29</v>
      </c>
      <c r="D15" s="47">
        <v>9577729.8399999999</v>
      </c>
      <c r="E15" s="47">
        <v>1459056.99</v>
      </c>
      <c r="F15" s="47">
        <v>1652120.86</v>
      </c>
      <c r="G15" s="47">
        <v>993202.89</v>
      </c>
      <c r="H15" s="47">
        <v>1231698.58</v>
      </c>
      <c r="I15" s="47">
        <v>986639.48</v>
      </c>
      <c r="J15" s="47">
        <v>989268.99</v>
      </c>
      <c r="K15" s="47">
        <v>1573918.4</v>
      </c>
      <c r="L15" s="47">
        <v>183158.66</v>
      </c>
      <c r="M15" s="45">
        <f>SUM(B15:L15)</f>
        <v>22681522.109999996</v>
      </c>
    </row>
    <row r="16" spans="1:13" x14ac:dyDescent="0.25">
      <c r="A16" s="4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5"/>
    </row>
    <row r="17" spans="1:13" s="17" customFormat="1" x14ac:dyDescent="0.25">
      <c r="A17" s="43" t="s">
        <v>33</v>
      </c>
      <c r="B17" s="47"/>
      <c r="C17" s="47"/>
      <c r="D17" s="47">
        <v>0.04</v>
      </c>
      <c r="E17" s="47"/>
      <c r="F17" s="47"/>
      <c r="G17" s="47"/>
      <c r="H17" s="47"/>
      <c r="I17" s="47"/>
      <c r="J17" s="47"/>
      <c r="K17" s="47"/>
      <c r="L17" s="47"/>
      <c r="M17" s="45">
        <f>SUM(B17:L17)</f>
        <v>0.04</v>
      </c>
    </row>
    <row r="18" spans="1:13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0"/>
    </row>
    <row r="19" spans="1:13" x14ac:dyDescent="0.25">
      <c r="A19" s="41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0"/>
    </row>
    <row r="20" spans="1:13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0"/>
    </row>
    <row r="21" spans="1:13" s="38" customFormat="1" x14ac:dyDescent="0.25">
      <c r="A21" s="34" t="s">
        <v>35</v>
      </c>
      <c r="B21" s="40"/>
      <c r="C21" s="36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38" customFormat="1" x14ac:dyDescent="0.25">
      <c r="A22" s="39" t="s">
        <v>27</v>
      </c>
      <c r="B22" s="36">
        <v>1496157.32</v>
      </c>
      <c r="C22" s="36">
        <v>687225.66</v>
      </c>
      <c r="D22" s="36">
        <v>2319783.9</v>
      </c>
      <c r="E22" s="36">
        <v>868122.84</v>
      </c>
      <c r="F22" s="36">
        <v>864710.38</v>
      </c>
      <c r="G22" s="36">
        <v>664920.54</v>
      </c>
      <c r="H22" s="36">
        <v>812189.63</v>
      </c>
      <c r="I22" s="36">
        <v>629690.17000000004</v>
      </c>
      <c r="J22" s="36">
        <v>1063904.5900000001</v>
      </c>
      <c r="K22" s="36">
        <v>1009682.34</v>
      </c>
      <c r="L22" s="36">
        <v>211296</v>
      </c>
      <c r="M22" s="40">
        <f>SUM(B22:L22)</f>
        <v>10627683.369999999</v>
      </c>
    </row>
    <row r="23" spans="1:13" s="38" customFormat="1" x14ac:dyDescent="0.25">
      <c r="A23" s="34"/>
      <c r="B23" s="40"/>
      <c r="C23" s="36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41" t="s">
        <v>36</v>
      </c>
      <c r="B24" s="42">
        <f>B22/49.41</f>
        <v>30280.455778182557</v>
      </c>
      <c r="C24" s="42">
        <f t="shared" ref="C24:L24" si="3">C22/49.41</f>
        <v>13908.635094110505</v>
      </c>
      <c r="D24" s="42">
        <f>D22/62.6</f>
        <v>37057.250798722045</v>
      </c>
      <c r="E24" s="42">
        <f t="shared" si="3"/>
        <v>17569.780206435946</v>
      </c>
      <c r="F24" s="42">
        <f t="shared" si="3"/>
        <v>17500.716049382718</v>
      </c>
      <c r="G24" s="42">
        <f t="shared" si="3"/>
        <v>13457.205828779601</v>
      </c>
      <c r="H24" s="42">
        <f t="shared" si="3"/>
        <v>16437.758146124266</v>
      </c>
      <c r="I24" s="42">
        <f t="shared" si="3"/>
        <v>12744.184780408827</v>
      </c>
      <c r="J24" s="42">
        <f t="shared" si="3"/>
        <v>21532.171422788913</v>
      </c>
      <c r="K24" s="42">
        <f t="shared" si="3"/>
        <v>20434.777170613237</v>
      </c>
      <c r="L24" s="42">
        <f t="shared" si="3"/>
        <v>4276.3812993321189</v>
      </c>
      <c r="M24" s="40">
        <f t="shared" ref="M24:M28" si="4">SUM(B24:L24)</f>
        <v>205199.31657488074</v>
      </c>
    </row>
    <row r="25" spans="1:13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0"/>
    </row>
    <row r="26" spans="1:13" x14ac:dyDescent="0.25">
      <c r="A26" s="41" t="s">
        <v>29</v>
      </c>
      <c r="B26" s="42">
        <f>B93*0.11</f>
        <v>1543041.7799279999</v>
      </c>
      <c r="C26" s="42">
        <f>C93*0.1</f>
        <v>677812.77645999996</v>
      </c>
      <c r="D26" s="42">
        <f>D93*0.15</f>
        <v>2194518.381825</v>
      </c>
      <c r="E26" s="42">
        <f>E93*0.13</f>
        <v>817505.30316000013</v>
      </c>
      <c r="F26" s="42">
        <f>F93*0.16</f>
        <v>906705.5443200001</v>
      </c>
      <c r="G26" s="42">
        <f>G93*0.16</f>
        <v>645353.566016</v>
      </c>
      <c r="H26" s="42">
        <f>H93*0.15</f>
        <v>743656.45441499993</v>
      </c>
      <c r="I26" s="42">
        <f>I93*0.15</f>
        <v>601830.64145999996</v>
      </c>
      <c r="J26" s="42">
        <f>J93*0.15</f>
        <v>1051759.0363499997</v>
      </c>
      <c r="K26" s="42">
        <f>K93*0.14</f>
        <v>953351.29498000012</v>
      </c>
      <c r="L26" s="42">
        <f>L93*0.16</f>
        <v>139273.21540800002</v>
      </c>
      <c r="M26" s="40">
        <f t="shared" si="4"/>
        <v>10274807.994322</v>
      </c>
    </row>
    <row r="27" spans="1:13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0"/>
    </row>
    <row r="28" spans="1:13" x14ac:dyDescent="0.25">
      <c r="A28" s="41" t="s">
        <v>30</v>
      </c>
      <c r="B28" s="42">
        <f>B94*0.11</f>
        <v>270633.49121599976</v>
      </c>
      <c r="C28" s="42">
        <f>C94*0.1</f>
        <v>105165.79398000002</v>
      </c>
      <c r="D28" s="42">
        <f>D94*0.15</f>
        <v>1267862.0697749995</v>
      </c>
      <c r="E28" s="42">
        <f>E94*0.13</f>
        <v>239746.92253199991</v>
      </c>
      <c r="F28" s="42">
        <f>F94*0.16</f>
        <v>257516.20831999989</v>
      </c>
      <c r="G28" s="42">
        <f>G94*0.16</f>
        <v>129580.2501600001</v>
      </c>
      <c r="H28" s="42">
        <f>H94*0.15</f>
        <v>170119.96591499998</v>
      </c>
      <c r="I28" s="42">
        <f>I94*0.15</f>
        <v>251092.51517999984</v>
      </c>
      <c r="J28" s="42">
        <f>J94*0.15</f>
        <v>209113.33667999995</v>
      </c>
      <c r="K28" s="42">
        <f>K94*0.14</f>
        <v>147836.93593200017</v>
      </c>
      <c r="L28" s="42">
        <f>L94*0.16</f>
        <v>69425.777664000023</v>
      </c>
      <c r="M28" s="40">
        <f t="shared" si="4"/>
        <v>3118093.2673539994</v>
      </c>
    </row>
    <row r="29" spans="1:13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0"/>
    </row>
    <row r="30" spans="1:13" s="17" customFormat="1" x14ac:dyDescent="0.25">
      <c r="A30" s="43" t="s">
        <v>31</v>
      </c>
      <c r="B30" s="44">
        <f>2434891.72+26522.88</f>
        <v>2461414.6</v>
      </c>
      <c r="C30" s="44">
        <f>1052396.73+19475.4</f>
        <v>1071872.1299999999</v>
      </c>
      <c r="D30" s="44">
        <f>3672805.02+61247.93</f>
        <v>3734052.95</v>
      </c>
      <c r="E30" s="44">
        <f>1611482.29+24098.92</f>
        <v>1635581.21</v>
      </c>
      <c r="F30" s="44">
        <f>927680.36+28511.62</f>
        <v>956191.98</v>
      </c>
      <c r="G30" s="44">
        <f>770798.42+16294.92</f>
        <v>787093.34000000008</v>
      </c>
      <c r="H30" s="44">
        <f>1320385.8+25332.24</f>
        <v>1345718.04</v>
      </c>
      <c r="I30" s="44">
        <f>1083287.46+19535.34</f>
        <v>1102822.8</v>
      </c>
      <c r="J30" s="44">
        <f>1905265.53+25311.48</f>
        <v>1930577.01</v>
      </c>
      <c r="K30" s="44">
        <f>1785827.06+23987.52</f>
        <v>1809814.58</v>
      </c>
      <c r="L30" s="44">
        <f>302608.05+5200.74</f>
        <v>307808.78999999998</v>
      </c>
      <c r="M30" s="45">
        <f>SUM(B30:L30)</f>
        <v>17142947.43</v>
      </c>
    </row>
    <row r="31" spans="1:13" x14ac:dyDescent="0.25">
      <c r="A31" s="41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s="17" customFormat="1" x14ac:dyDescent="0.25">
      <c r="A32" s="43" t="s">
        <v>32</v>
      </c>
      <c r="B32" s="44">
        <v>2461414.6</v>
      </c>
      <c r="C32" s="44">
        <v>1071872.1299999999</v>
      </c>
      <c r="D32" s="44">
        <f>617832.14+3734052.95-596852.63</f>
        <v>3755032.46</v>
      </c>
      <c r="E32" s="44">
        <f>259436.54+1635581.21-301384.18</f>
        <v>1593633.57</v>
      </c>
      <c r="F32" s="44">
        <f>168781.82+956191.98-155330.65</f>
        <v>969643.15</v>
      </c>
      <c r="G32" s="44">
        <f>138933.44+787093.34-127861.07</f>
        <v>798165.71</v>
      </c>
      <c r="H32" s="44">
        <f>227637.22+1345718.04-243741.51</f>
        <v>1329613.75</v>
      </c>
      <c r="I32" s="44">
        <f>186549.86+1102822.8-199747.41</f>
        <v>1089625.2500000002</v>
      </c>
      <c r="J32" s="44">
        <f>333147.8+1930577.01-338214.37</f>
        <v>1925510.44</v>
      </c>
      <c r="K32" s="44">
        <f>286901.22+1809814.58-330199.51</f>
        <v>1766516.29</v>
      </c>
      <c r="L32" s="44">
        <v>193119.96</v>
      </c>
      <c r="M32" s="45">
        <f>SUM(B32:L32)</f>
        <v>16954147.310000002</v>
      </c>
    </row>
    <row r="33" spans="1:13" x14ac:dyDescent="0.25">
      <c r="A33" s="4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s="17" customFormat="1" x14ac:dyDescent="0.25">
      <c r="A34" s="43" t="s">
        <v>37</v>
      </c>
      <c r="B34" s="44"/>
      <c r="C34" s="44"/>
      <c r="D34" s="44">
        <v>596852.63</v>
      </c>
      <c r="E34" s="44">
        <v>301384.18</v>
      </c>
      <c r="F34" s="44">
        <v>155330.65</v>
      </c>
      <c r="G34" s="44">
        <v>127861.07</v>
      </c>
      <c r="H34" s="44">
        <v>243741.51</v>
      </c>
      <c r="I34" s="44">
        <v>199747.41</v>
      </c>
      <c r="J34" s="44">
        <v>338214.37</v>
      </c>
      <c r="K34" s="44">
        <v>330199.51</v>
      </c>
      <c r="L34" s="44">
        <v>114688.83</v>
      </c>
      <c r="M34" s="45">
        <f>SUM(B34:L34)</f>
        <v>2408020.16</v>
      </c>
    </row>
    <row r="35" spans="1:13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0"/>
    </row>
    <row r="36" spans="1:13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0"/>
    </row>
    <row r="37" spans="1:13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0"/>
    </row>
    <row r="38" spans="1:13" s="49" customFormat="1" x14ac:dyDescent="0.25">
      <c r="A38" s="34" t="s">
        <v>38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40"/>
    </row>
    <row r="39" spans="1:13" s="38" customFormat="1" x14ac:dyDescent="0.25">
      <c r="A39" s="39" t="s">
        <v>27</v>
      </c>
      <c r="B39" s="36">
        <v>4861110.22</v>
      </c>
      <c r="C39" s="36">
        <v>2356515.66</v>
      </c>
      <c r="D39" s="36">
        <v>4620103.96</v>
      </c>
      <c r="E39" s="36">
        <v>1970062.47</v>
      </c>
      <c r="F39" s="36">
        <v>1686393.25</v>
      </c>
      <c r="G39" s="36">
        <v>1412994.62</v>
      </c>
      <c r="H39" s="36">
        <v>1469604.73</v>
      </c>
      <c r="I39" s="36">
        <v>1273370.3999999999</v>
      </c>
      <c r="J39" s="36">
        <v>1882501.32</v>
      </c>
      <c r="K39" s="36">
        <v>1885841.05</v>
      </c>
      <c r="L39" s="36">
        <v>307948.43</v>
      </c>
      <c r="M39" s="40">
        <f>SUM(B39:L39)</f>
        <v>23726446.109999999</v>
      </c>
    </row>
    <row r="40" spans="1:13" s="38" customFormat="1" x14ac:dyDescent="0.25">
      <c r="A40" s="34"/>
      <c r="B40" s="4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0"/>
    </row>
    <row r="41" spans="1:13" x14ac:dyDescent="0.25">
      <c r="A41" s="41" t="s">
        <v>39</v>
      </c>
      <c r="B41" s="42">
        <f>B39/2009.5</f>
        <v>2419.0645533714851</v>
      </c>
      <c r="C41" s="42">
        <f t="shared" ref="C41:K41" si="5">C39/2009.5</f>
        <v>1172.6875640706644</v>
      </c>
      <c r="D41" s="42">
        <f>D39/1325.475</f>
        <v>3485.6213508364926</v>
      </c>
      <c r="E41" s="42">
        <f t="shared" si="5"/>
        <v>980.374456332421</v>
      </c>
      <c r="F41" s="42">
        <f t="shared" si="5"/>
        <v>839.21037571535203</v>
      </c>
      <c r="G41" s="42">
        <f t="shared" si="5"/>
        <v>703.15731276436929</v>
      </c>
      <c r="H41" s="42">
        <f t="shared" si="5"/>
        <v>731.32855436675788</v>
      </c>
      <c r="I41" s="42">
        <f t="shared" si="5"/>
        <v>633.67524259766105</v>
      </c>
      <c r="J41" s="42">
        <f t="shared" si="5"/>
        <v>936.80085593431204</v>
      </c>
      <c r="K41" s="42">
        <f t="shared" si="5"/>
        <v>938.46282657377458</v>
      </c>
      <c r="L41" s="42">
        <f>L39/1346.99</f>
        <v>228.61968537257144</v>
      </c>
      <c r="M41" s="40">
        <f t="shared" ref="M41:M45" si="6">SUM(B41:L41)</f>
        <v>13069.002777935861</v>
      </c>
    </row>
    <row r="42" spans="1:13" x14ac:dyDescent="0.2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0"/>
    </row>
    <row r="43" spans="1:13" x14ac:dyDescent="0.25">
      <c r="A43" s="41" t="s">
        <v>29</v>
      </c>
      <c r="B43" s="42">
        <f>B93*0.35</f>
        <v>4909678.3906800002</v>
      </c>
      <c r="C43" s="42">
        <f t="shared" ref="C43" si="7">C93*0.35</f>
        <v>2372344.7176099997</v>
      </c>
      <c r="D43" s="42">
        <f>D93*0.3</f>
        <v>4389036.7636500001</v>
      </c>
      <c r="E43" s="42">
        <f>E93*0.3</f>
        <v>1886550.6995999999</v>
      </c>
      <c r="F43" s="42">
        <f>F93*0.31</f>
        <v>1756741.9921200003</v>
      </c>
      <c r="G43" s="42">
        <f>G93*0.33</f>
        <v>1331041.729908</v>
      </c>
      <c r="H43" s="42">
        <f>H93*0.28</f>
        <v>1388158.7149079998</v>
      </c>
      <c r="I43" s="42">
        <f>I93*0.29</f>
        <v>1163539.2401559998</v>
      </c>
      <c r="J43" s="42">
        <f>J93*0.26</f>
        <v>1823048.9963399998</v>
      </c>
      <c r="K43" s="42">
        <f>K93*0.27</f>
        <v>1838606.06889</v>
      </c>
      <c r="L43" s="42">
        <f>L93*0.24</f>
        <v>208909.82311200001</v>
      </c>
      <c r="M43" s="40">
        <f t="shared" si="6"/>
        <v>23067657.136973999</v>
      </c>
    </row>
    <row r="44" spans="1:13" x14ac:dyDescent="0.2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0"/>
    </row>
    <row r="45" spans="1:13" x14ac:dyDescent="0.25">
      <c r="A45" s="41" t="s">
        <v>30</v>
      </c>
      <c r="B45" s="42">
        <f>B94*0.35</f>
        <v>861106.5629599992</v>
      </c>
      <c r="C45" s="42">
        <f t="shared" ref="C45" si="8">C94*0.35</f>
        <v>368080.27892999997</v>
      </c>
      <c r="D45" s="42">
        <f>D94*0.3</f>
        <v>2535724.139549999</v>
      </c>
      <c r="E45" s="42">
        <f>E94*0.3</f>
        <v>553262.1289199997</v>
      </c>
      <c r="F45" s="42">
        <f>F94*0.31</f>
        <v>498937.65361999976</v>
      </c>
      <c r="G45" s="42">
        <f>G94*0.33</f>
        <v>267259.26595500024</v>
      </c>
      <c r="H45" s="42">
        <f>H94*0.28</f>
        <v>317557.26970800001</v>
      </c>
      <c r="I45" s="42">
        <f>I94*0.29</f>
        <v>485445.52934799966</v>
      </c>
      <c r="J45" s="42">
        <f>J94*0.26</f>
        <v>362463.11691199994</v>
      </c>
      <c r="K45" s="42">
        <f>K94*0.27</f>
        <v>285114.09072600032</v>
      </c>
      <c r="L45" s="42">
        <f>L94*0.24</f>
        <v>104138.66649600002</v>
      </c>
      <c r="M45" s="40">
        <f t="shared" si="6"/>
        <v>6639088.7031249991</v>
      </c>
    </row>
    <row r="46" spans="1:13" x14ac:dyDescent="0.2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0"/>
    </row>
    <row r="47" spans="1:13" s="17" customFormat="1" x14ac:dyDescent="0.25">
      <c r="A47" s="43" t="s">
        <v>31</v>
      </c>
      <c r="B47" s="44">
        <v>5722537.9400000004</v>
      </c>
      <c r="C47" s="44">
        <v>2896064.34</v>
      </c>
      <c r="D47" s="44">
        <v>5235682.26</v>
      </c>
      <c r="E47" s="44">
        <v>2207057.1800000002</v>
      </c>
      <c r="F47" s="44">
        <v>1439430.8</v>
      </c>
      <c r="G47" s="44">
        <v>1187274.1499999999</v>
      </c>
      <c r="H47" s="44">
        <v>1682972.55</v>
      </c>
      <c r="I47" s="44">
        <v>1476661.8</v>
      </c>
      <c r="J47" s="44">
        <v>2202827.36</v>
      </c>
      <c r="K47" s="44">
        <v>1960500.15</v>
      </c>
      <c r="L47" s="44">
        <v>177224.88</v>
      </c>
      <c r="M47" s="45">
        <f>SUM(B47:L47)</f>
        <v>26188233.409999996</v>
      </c>
    </row>
    <row r="48" spans="1:13" x14ac:dyDescent="0.25">
      <c r="A48" s="41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s="17" customFormat="1" x14ac:dyDescent="0.25">
      <c r="A49" s="43" t="s">
        <v>32</v>
      </c>
      <c r="B49" s="44">
        <f>727343.67+5722537.94-618373.51-208901.34</f>
        <v>5622606.7600000007</v>
      </c>
      <c r="C49" s="44">
        <f>580445.3+2896064.34-344139.86-101316.92</f>
        <v>3031052.86</v>
      </c>
      <c r="D49" s="50">
        <f>D47-D51</f>
        <v>4667319.83</v>
      </c>
      <c r="E49" s="50">
        <f>E47-E51</f>
        <v>1980547.34</v>
      </c>
      <c r="F49" s="50">
        <f>332483.46+F47-F51</f>
        <v>1622236.73</v>
      </c>
      <c r="G49" s="50">
        <f>296937.55+G47-G51</f>
        <v>1318625.98</v>
      </c>
      <c r="H49" s="50">
        <f>397195.36+H47-H51</f>
        <v>1742181.1800000002</v>
      </c>
      <c r="I49" s="50">
        <f>408191.49+I47-I51</f>
        <v>1583949.19</v>
      </c>
      <c r="J49" s="50">
        <f>608679.21+J47-J51</f>
        <v>2448762.1599999997</v>
      </c>
      <c r="K49" s="50">
        <f>287048.83+K47-K51</f>
        <v>1897345.05</v>
      </c>
      <c r="M49" s="45">
        <f>SUM(B49:L49)</f>
        <v>25914627.080000002</v>
      </c>
    </row>
    <row r="50" spans="1:13" x14ac:dyDescent="0.25">
      <c r="A50" s="41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s="17" customFormat="1" x14ac:dyDescent="0.25">
      <c r="A51" s="43" t="s">
        <v>37</v>
      </c>
      <c r="B51" s="44">
        <f>618373.51+208901.34</f>
        <v>827274.85</v>
      </c>
      <c r="C51" s="44">
        <f>344139.86+101316.92</f>
        <v>445456.77999999997</v>
      </c>
      <c r="D51" s="44">
        <f>568362.43</f>
        <v>568362.43000000005</v>
      </c>
      <c r="E51" s="44">
        <f>226509.84</f>
        <v>226509.84</v>
      </c>
      <c r="F51" s="44">
        <f>149677.53</f>
        <v>149677.53</v>
      </c>
      <c r="G51" s="44">
        <f>121202.16+44383.56</f>
        <v>165585.72</v>
      </c>
      <c r="H51" s="44">
        <f>198223.05+139763.68</f>
        <v>337986.73</v>
      </c>
      <c r="I51" s="44">
        <f>166353.27+134550.83</f>
        <v>300904.09999999998</v>
      </c>
      <c r="J51" s="44">
        <f>180900.76+181843.65</f>
        <v>362744.41000000003</v>
      </c>
      <c r="K51" s="44">
        <f>194316.78+155887.15</f>
        <v>350203.93</v>
      </c>
      <c r="L51" s="44">
        <v>177224.88</v>
      </c>
      <c r="M51" s="45">
        <f>SUM(B51:L51)</f>
        <v>3911931.2000000007</v>
      </c>
    </row>
    <row r="52" spans="1:13" x14ac:dyDescent="0.25">
      <c r="A52" s="41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0"/>
    </row>
    <row r="53" spans="1:13" x14ac:dyDescent="0.25">
      <c r="A53" s="41" t="s">
        <v>34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0"/>
    </row>
    <row r="54" spans="1:13" x14ac:dyDescent="0.25">
      <c r="A54" s="4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0"/>
    </row>
    <row r="55" spans="1:13" s="49" customFormat="1" x14ac:dyDescent="0.25">
      <c r="A55" s="34" t="s">
        <v>40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0"/>
    </row>
    <row r="56" spans="1:13" s="38" customFormat="1" x14ac:dyDescent="0.25">
      <c r="A56" s="39" t="s">
        <v>27</v>
      </c>
      <c r="B56" s="48">
        <v>2728491.82</v>
      </c>
      <c r="C56" s="48">
        <v>1480600.53</v>
      </c>
      <c r="D56" s="48">
        <v>2953910.83</v>
      </c>
      <c r="E56" s="48">
        <v>1151731.51</v>
      </c>
      <c r="F56" s="48">
        <v>642169.93000000005</v>
      </c>
      <c r="G56" s="48">
        <v>470672.61</v>
      </c>
      <c r="H56" s="48">
        <v>1054297.45</v>
      </c>
      <c r="I56" s="48">
        <v>834347.31</v>
      </c>
      <c r="J56" s="48">
        <v>1468016.84</v>
      </c>
      <c r="K56" s="48">
        <v>1469385.95</v>
      </c>
      <c r="L56" s="48">
        <v>273640.5</v>
      </c>
      <c r="M56" s="40">
        <f>SUM(B56:L56)</f>
        <v>14527265.279999997</v>
      </c>
    </row>
    <row r="57" spans="1:13" s="38" customFormat="1" x14ac:dyDescent="0.25">
      <c r="A57" s="34"/>
      <c r="B57" s="51"/>
      <c r="C57" s="48"/>
      <c r="D57" s="51"/>
      <c r="E57" s="51"/>
      <c r="F57" s="51"/>
      <c r="G57" s="51"/>
      <c r="H57" s="51"/>
      <c r="I57" s="51"/>
      <c r="J57" s="51"/>
      <c r="K57" s="51"/>
      <c r="L57" s="51"/>
      <c r="M57" s="40"/>
    </row>
    <row r="58" spans="1:13" x14ac:dyDescent="0.25">
      <c r="A58" s="41" t="s">
        <v>39</v>
      </c>
      <c r="B58" s="46">
        <f>B56/2009.5</f>
        <v>1357.7963772082608</v>
      </c>
      <c r="C58" s="46">
        <f t="shared" ref="C58:K58" si="9">C56/2009.5</f>
        <v>736.80046280169199</v>
      </c>
      <c r="D58" s="42">
        <f>D56/1325.475</f>
        <v>2228.5677436390729</v>
      </c>
      <c r="E58" s="46">
        <f t="shared" si="9"/>
        <v>573.14332421000245</v>
      </c>
      <c r="F58" s="46">
        <f t="shared" si="9"/>
        <v>319.56702164717592</v>
      </c>
      <c r="G58" s="46">
        <f t="shared" si="9"/>
        <v>234.22374222443392</v>
      </c>
      <c r="H58" s="46">
        <f t="shared" si="9"/>
        <v>524.65660612092563</v>
      </c>
      <c r="I58" s="46">
        <f t="shared" si="9"/>
        <v>415.20144812142325</v>
      </c>
      <c r="J58" s="46">
        <f t="shared" si="9"/>
        <v>730.53836277681023</v>
      </c>
      <c r="K58" s="46">
        <f t="shared" si="9"/>
        <v>731.21968151281408</v>
      </c>
      <c r="L58" s="46">
        <f>L56/1346.99</f>
        <v>203.1496150676694</v>
      </c>
      <c r="M58" s="40">
        <f t="shared" ref="M58:M62" si="10">SUM(B58:L58)</f>
        <v>8054.8643853302829</v>
      </c>
    </row>
    <row r="59" spans="1:13" x14ac:dyDescent="0.25">
      <c r="A59" s="41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0"/>
    </row>
    <row r="60" spans="1:13" x14ac:dyDescent="0.25">
      <c r="A60" s="41" t="s">
        <v>29</v>
      </c>
      <c r="B60" s="46">
        <f>B93*0.2</f>
        <v>2805530.5089600002</v>
      </c>
      <c r="C60" s="46">
        <f>C93*0.22</f>
        <v>1491188.108212</v>
      </c>
      <c r="D60" s="46">
        <f>D93*0.19</f>
        <v>2779723.2836450003</v>
      </c>
      <c r="E60" s="46">
        <f>E93*0.18</f>
        <v>1131930.41976</v>
      </c>
      <c r="F60" s="46">
        <f>F93*0.12</f>
        <v>680029.15824000002</v>
      </c>
      <c r="G60" s="46">
        <f>G93*0.11</f>
        <v>443680.57663600001</v>
      </c>
      <c r="H60" s="46">
        <f t="shared" ref="H60:J60" si="11">H93*0.2</f>
        <v>991541.93921999994</v>
      </c>
      <c r="I60" s="46">
        <f>I93*0.19</f>
        <v>762318.81251600001</v>
      </c>
      <c r="J60" s="46">
        <f t="shared" si="11"/>
        <v>1402345.3817999999</v>
      </c>
      <c r="K60" s="46">
        <f>K93*0.21</f>
        <v>1430026.9424699999</v>
      </c>
      <c r="L60" s="46">
        <f>L93*0.21</f>
        <v>182796.09522300001</v>
      </c>
      <c r="M60" s="40">
        <f t="shared" si="10"/>
        <v>14101111.226682</v>
      </c>
    </row>
    <row r="61" spans="1:13" x14ac:dyDescent="0.25">
      <c r="A61" s="4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0"/>
    </row>
    <row r="62" spans="1:13" x14ac:dyDescent="0.25">
      <c r="A62" s="41" t="s">
        <v>30</v>
      </c>
      <c r="B62" s="46">
        <f>B94*0.2</f>
        <v>492060.89311999962</v>
      </c>
      <c r="C62" s="46">
        <f>C94*0.22</f>
        <v>231364.74675600001</v>
      </c>
      <c r="D62" s="46">
        <f>D94*0.19</f>
        <v>1605958.6217149997</v>
      </c>
      <c r="E62" s="46">
        <f>E94*0.18</f>
        <v>331957.27735199983</v>
      </c>
      <c r="F62" s="46">
        <f>F94*0.12</f>
        <v>193137.15623999989</v>
      </c>
      <c r="G62" s="46">
        <f>G94*0.11</f>
        <v>89086.421985000066</v>
      </c>
      <c r="H62" s="46">
        <f t="shared" ref="H62:J62" si="12">H94*0.2</f>
        <v>226826.62122</v>
      </c>
      <c r="I62" s="46">
        <f>I94*0.19</f>
        <v>318050.51922799979</v>
      </c>
      <c r="J62" s="46">
        <f t="shared" si="12"/>
        <v>278817.78223999997</v>
      </c>
      <c r="K62" s="46">
        <f>K94*0.21</f>
        <v>221755.40389800022</v>
      </c>
      <c r="L62" s="46">
        <f>L94*0.21</f>
        <v>91121.333184000017</v>
      </c>
      <c r="M62" s="40">
        <f t="shared" si="10"/>
        <v>4080136.7769379993</v>
      </c>
    </row>
    <row r="63" spans="1:13" x14ac:dyDescent="0.25">
      <c r="A63" s="41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0"/>
    </row>
    <row r="64" spans="1:13" s="17" customFormat="1" x14ac:dyDescent="0.25">
      <c r="A64" s="43" t="s">
        <v>31</v>
      </c>
      <c r="B64" s="44">
        <f>1181144.5+87842.28</f>
        <v>1268986.78</v>
      </c>
      <c r="C64" s="44">
        <f>435696.27+64500.67</f>
        <v>500196.94</v>
      </c>
      <c r="D64" s="44">
        <f>1052734.39+139633.63</f>
        <v>1192368.02</v>
      </c>
      <c r="E64" s="44">
        <f>375897.8+54814.64</f>
        <v>430712.44</v>
      </c>
      <c r="F64" s="44">
        <f>980969.92+42976.62</f>
        <v>1023946.54</v>
      </c>
      <c r="G64" s="44">
        <f>693558+24561.06</f>
        <v>718119.06</v>
      </c>
      <c r="H64" s="44">
        <f>320309.65+57752.94</f>
        <v>378062.59</v>
      </c>
      <c r="I64" s="44">
        <f>252384.03+44536.17</f>
        <v>296920.2</v>
      </c>
      <c r="J64" s="44">
        <f>501511.97+57708.45</f>
        <v>559220.41999999993</v>
      </c>
      <c r="K64" s="44">
        <f>661325.71+54687.2</f>
        <v>716012.90999999992</v>
      </c>
      <c r="L64" s="44">
        <v>222555.87</v>
      </c>
      <c r="M64" s="45">
        <f>SUM(B64:L64)</f>
        <v>7307101.7700000014</v>
      </c>
    </row>
    <row r="65" spans="1:13" x14ac:dyDescent="0.25">
      <c r="A65" s="41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</row>
    <row r="66" spans="1:13" s="17" customFormat="1" x14ac:dyDescent="0.25">
      <c r="A66" s="43" t="s">
        <v>32</v>
      </c>
      <c r="B66" s="44">
        <f>78770.74+1268986.78-135838.4</f>
        <v>1211919.1200000001</v>
      </c>
      <c r="C66" s="44">
        <f>11163.94+500196.94-62058.15</f>
        <v>449302.73</v>
      </c>
      <c r="D66" s="44">
        <f>D64-D68</f>
        <v>1037336.8500000001</v>
      </c>
      <c r="E66" s="44">
        <f>15.44+E64-E68</f>
        <v>371261.28</v>
      </c>
      <c r="F66" s="44">
        <f>379799.2+F64-F68</f>
        <v>1291796.21</v>
      </c>
      <c r="G66" s="44">
        <f>260439.67+G64-G68</f>
        <v>893567.72000000009</v>
      </c>
      <c r="H66" s="44">
        <f>104320.31+H64-H68</f>
        <v>436554.89</v>
      </c>
      <c r="I66" s="44">
        <f>86113.29+I64-I68</f>
        <v>342365.7</v>
      </c>
      <c r="J66" s="44">
        <f>14545.89+J64-J68</f>
        <v>463901.88999999996</v>
      </c>
      <c r="K66" s="44">
        <f>4594.64+K64-K68</f>
        <v>637418.07999999996</v>
      </c>
      <c r="L66" s="44"/>
      <c r="M66" s="45">
        <f>SUM(B66:L66)</f>
        <v>7135424.4699999997</v>
      </c>
    </row>
    <row r="67" spans="1:13" x14ac:dyDescent="0.25">
      <c r="A67" s="4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</row>
    <row r="68" spans="1:13" s="17" customFormat="1" x14ac:dyDescent="0.25">
      <c r="A68" s="43" t="s">
        <v>37</v>
      </c>
      <c r="B68" s="44">
        <f>7093.75+128744.65</f>
        <v>135838.39999999999</v>
      </c>
      <c r="C68" s="44">
        <f>5208.8+56849.35</f>
        <v>62058.15</v>
      </c>
      <c r="D68" s="17">
        <f>11540.87+143490.3</f>
        <v>155031.16999999998</v>
      </c>
      <c r="E68" s="17">
        <f>4510.6+54956</f>
        <v>59466.6</v>
      </c>
      <c r="F68" s="44">
        <f>3719.15+87781.9+20448.48</f>
        <v>111949.52999999998</v>
      </c>
      <c r="G68" s="44">
        <f>2125.57+66765.2+16100.24</f>
        <v>84991.010000000009</v>
      </c>
      <c r="H68" s="44">
        <f>4773.3+41054.71</f>
        <v>45828.01</v>
      </c>
      <c r="I68" s="44">
        <f>3680.99+36986.8</f>
        <v>40667.79</v>
      </c>
      <c r="J68" s="44">
        <f>4769.72+105094.7</f>
        <v>109864.42</v>
      </c>
      <c r="K68" s="44">
        <f>4520.07+78669.4</f>
        <v>83189.47</v>
      </c>
      <c r="L68" s="44">
        <v>222555.87</v>
      </c>
      <c r="M68" s="45">
        <f>SUM(B68:L68)</f>
        <v>1111440.42</v>
      </c>
    </row>
    <row r="69" spans="1:13" x14ac:dyDescent="0.25">
      <c r="A69" s="41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0"/>
    </row>
    <row r="70" spans="1:13" x14ac:dyDescent="0.25">
      <c r="A70" s="41" t="s">
        <v>34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0"/>
    </row>
    <row r="71" spans="1:13" x14ac:dyDescent="0.25">
      <c r="A71" s="4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0"/>
    </row>
    <row r="72" spans="1:13" s="49" customFormat="1" x14ac:dyDescent="0.25">
      <c r="A72" s="34" t="s">
        <v>41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0"/>
    </row>
    <row r="73" spans="1:13" s="38" customFormat="1" x14ac:dyDescent="0.25">
      <c r="A73" s="39" t="s">
        <v>27</v>
      </c>
      <c r="B73" s="48">
        <v>2329246.5</v>
      </c>
      <c r="C73" s="48">
        <v>1133248.92</v>
      </c>
      <c r="D73" s="48">
        <v>2773967.88</v>
      </c>
      <c r="E73" s="48">
        <v>1053244.4099999999</v>
      </c>
      <c r="F73" s="48">
        <v>989607.04</v>
      </c>
      <c r="G73" s="48">
        <v>749207.94</v>
      </c>
      <c r="H73" s="48">
        <v>977603.81</v>
      </c>
      <c r="I73" s="48">
        <v>763246.3</v>
      </c>
      <c r="J73" s="48">
        <v>1310149.8799999999</v>
      </c>
      <c r="K73" s="48">
        <v>1268322.29</v>
      </c>
      <c r="L73" s="48">
        <v>252358.87</v>
      </c>
      <c r="M73" s="40">
        <f>SUM(B73:L73)</f>
        <v>13600203.839999998</v>
      </c>
    </row>
    <row r="74" spans="1:13" s="38" customFormat="1" x14ac:dyDescent="0.25">
      <c r="A74" s="34"/>
      <c r="B74" s="51"/>
      <c r="C74" s="48"/>
      <c r="D74" s="51"/>
      <c r="E74" s="51"/>
      <c r="F74" s="51"/>
      <c r="G74" s="51"/>
      <c r="H74" s="51"/>
      <c r="I74" s="51"/>
      <c r="J74" s="51"/>
      <c r="K74" s="51"/>
      <c r="L74" s="51"/>
      <c r="M74" s="40"/>
    </row>
    <row r="75" spans="1:13" x14ac:dyDescent="0.25">
      <c r="A75" s="41" t="s">
        <v>36</v>
      </c>
      <c r="B75" s="46">
        <f>B73/49.67</f>
        <v>46894.433259512785</v>
      </c>
      <c r="C75" s="46">
        <f t="shared" ref="C75:L75" si="13">C73/49.67</f>
        <v>22815.561103281656</v>
      </c>
      <c r="D75" s="46">
        <f>D73/48.1</f>
        <v>57670.849896049891</v>
      </c>
      <c r="E75" s="46">
        <f t="shared" si="13"/>
        <v>21204.840144956714</v>
      </c>
      <c r="F75" s="46">
        <f t="shared" si="13"/>
        <v>19923.636802899135</v>
      </c>
      <c r="G75" s="46">
        <f t="shared" si="13"/>
        <v>15083.711294543989</v>
      </c>
      <c r="H75" s="46">
        <f t="shared" si="13"/>
        <v>19681.977249849006</v>
      </c>
      <c r="I75" s="46">
        <f t="shared" si="13"/>
        <v>15366.343869538958</v>
      </c>
      <c r="J75" s="46">
        <f t="shared" si="13"/>
        <v>26377.086370042274</v>
      </c>
      <c r="K75" s="46">
        <f t="shared" si="13"/>
        <v>25534.976645862695</v>
      </c>
      <c r="L75" s="46">
        <f t="shared" si="13"/>
        <v>5080.710086571371</v>
      </c>
      <c r="M75" s="40">
        <f t="shared" ref="M75:M79" si="14">SUM(B75:L75)</f>
        <v>275634.12672310841</v>
      </c>
    </row>
    <row r="76" spans="1:13" x14ac:dyDescent="0.25">
      <c r="A76" s="41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0"/>
    </row>
    <row r="77" spans="1:13" x14ac:dyDescent="0.25">
      <c r="A77" s="41" t="s">
        <v>29</v>
      </c>
      <c r="B77" s="46">
        <f>B93*0.17</f>
        <v>2384700.9326160001</v>
      </c>
      <c r="C77" s="46">
        <f>C93*0.18</f>
        <v>1220062.9976279999</v>
      </c>
      <c r="D77" s="46">
        <f>D93*0.18</f>
        <v>2633422.0581900002</v>
      </c>
      <c r="E77" s="46">
        <f t="shared" ref="E77:F77" si="15">E93*0.17</f>
        <v>1069045.39644</v>
      </c>
      <c r="F77" s="46">
        <f t="shared" si="15"/>
        <v>963374.64084000024</v>
      </c>
      <c r="G77" s="46">
        <f>G93*0.18</f>
        <v>726022.76176799997</v>
      </c>
      <c r="H77" s="46">
        <f>H93*0.19</f>
        <v>941964.84225899994</v>
      </c>
      <c r="I77" s="46">
        <f>I93*0.18</f>
        <v>722196.76975199999</v>
      </c>
      <c r="J77" s="46">
        <f>J93*0.19</f>
        <v>1332228.1127099998</v>
      </c>
      <c r="K77" s="46">
        <f>K93*0.19</f>
        <v>1293833.9003300001</v>
      </c>
      <c r="L77" s="46">
        <f>L93*0.19</f>
        <v>165386.94329700002</v>
      </c>
      <c r="M77" s="40">
        <f t="shared" si="14"/>
        <v>13452239.355829999</v>
      </c>
    </row>
    <row r="78" spans="1:13" x14ac:dyDescent="0.25">
      <c r="A78" s="4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0"/>
    </row>
    <row r="79" spans="1:13" x14ac:dyDescent="0.25">
      <c r="A79" s="41" t="s">
        <v>30</v>
      </c>
      <c r="B79" s="46">
        <f>B94*0.17</f>
        <v>418251.75915199966</v>
      </c>
      <c r="C79" s="46">
        <f>C94*0.18</f>
        <v>189298.429164</v>
      </c>
      <c r="D79" s="46">
        <f>D94*0.18</f>
        <v>1521434.4837299995</v>
      </c>
      <c r="E79" s="46">
        <f t="shared" ref="E79:F79" si="16">E94*0.17</f>
        <v>313515.20638799988</v>
      </c>
      <c r="F79" s="46">
        <f t="shared" si="16"/>
        <v>273610.97133999987</v>
      </c>
      <c r="G79" s="46">
        <f>G94*0.18</f>
        <v>145777.78143000012</v>
      </c>
      <c r="H79" s="46">
        <f>H94*0.19</f>
        <v>215485.290159</v>
      </c>
      <c r="I79" s="46">
        <f>I94*0.18</f>
        <v>301311.01821599982</v>
      </c>
      <c r="J79" s="46">
        <f>J94*0.19</f>
        <v>264876.89312799997</v>
      </c>
      <c r="K79" s="46">
        <f>K94*0.19</f>
        <v>200635.84162200021</v>
      </c>
      <c r="L79" s="46">
        <f>L94*0.19</f>
        <v>82443.110976000025</v>
      </c>
      <c r="M79" s="40">
        <f t="shared" si="14"/>
        <v>3926640.785304999</v>
      </c>
    </row>
    <row r="80" spans="1:13" x14ac:dyDescent="0.25">
      <c r="A80" s="41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0"/>
    </row>
    <row r="81" spans="1:13" s="17" customFormat="1" x14ac:dyDescent="0.25">
      <c r="A81" s="43" t="s">
        <v>31</v>
      </c>
      <c r="B81" s="44">
        <v>2474620.21</v>
      </c>
      <c r="C81" s="44">
        <v>1077653.57</v>
      </c>
      <c r="D81" s="44">
        <v>2869365.2</v>
      </c>
      <c r="E81" s="44">
        <v>1256832.72</v>
      </c>
      <c r="F81" s="44">
        <v>1248567.1000000001</v>
      </c>
      <c r="G81" s="44">
        <v>1027763.06</v>
      </c>
      <c r="H81" s="44">
        <v>1034092.62</v>
      </c>
      <c r="I81" s="44">
        <v>847444.18</v>
      </c>
      <c r="J81" s="44">
        <v>1483280.24</v>
      </c>
      <c r="K81" s="44">
        <v>1390719.2</v>
      </c>
      <c r="L81" s="44">
        <v>236530.32</v>
      </c>
      <c r="M81" s="45">
        <f>SUM(B81:L81)</f>
        <v>14946868.42</v>
      </c>
    </row>
    <row r="82" spans="1:13" x14ac:dyDescent="0.25">
      <c r="A82" s="41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5">
        <f>SUM(B82:L82)</f>
        <v>0</v>
      </c>
    </row>
    <row r="83" spans="1:13" s="17" customFormat="1" x14ac:dyDescent="0.25">
      <c r="A83" s="43" t="s">
        <v>32</v>
      </c>
      <c r="B83" s="52">
        <v>2474590.21</v>
      </c>
      <c r="C83" s="44">
        <v>1077653.57</v>
      </c>
      <c r="D83" s="44">
        <f>2348118.26+474761.56-62605.9</f>
        <v>2760273.9199999999</v>
      </c>
      <c r="E83" s="44">
        <f>1025239.28+199359.16</f>
        <v>1224598.44</v>
      </c>
      <c r="F83" s="44">
        <f>1063144.44+239980.11</f>
        <v>1303124.5499999998</v>
      </c>
      <c r="G83" s="44">
        <f>875131.64+197540.61</f>
        <v>1072672.25</v>
      </c>
      <c r="H83" s="44">
        <f>846793.69+174923.56</f>
        <v>1021717.25</v>
      </c>
      <c r="I83" s="44">
        <f>693951.75+143350.76</f>
        <v>837302.51</v>
      </c>
      <c r="J83" s="44">
        <f>1269528+256001.2</f>
        <v>1525529.2</v>
      </c>
      <c r="K83" s="44">
        <f>1136983.12+283069.78</f>
        <v>1420052.9000000001</v>
      </c>
      <c r="L83" s="44">
        <v>148399.67999999999</v>
      </c>
      <c r="M83" s="45">
        <f>SUM(B83:L83)</f>
        <v>14865914.48</v>
      </c>
    </row>
    <row r="84" spans="1:13" x14ac:dyDescent="0.25">
      <c r="A84" s="41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5">
        <f>SUM(B84:L84)</f>
        <v>0</v>
      </c>
    </row>
    <row r="85" spans="1:13" s="17" customFormat="1" x14ac:dyDescent="0.25">
      <c r="A85" s="43" t="s">
        <v>37</v>
      </c>
      <c r="B85" s="44">
        <v>30</v>
      </c>
      <c r="C85" s="44"/>
      <c r="D85" s="44">
        <f>458641.04+62605.9</f>
        <v>521246.94</v>
      </c>
      <c r="E85" s="44">
        <v>231593.44</v>
      </c>
      <c r="F85" s="44">
        <v>185422.66</v>
      </c>
      <c r="G85" s="44">
        <v>152631.42000000001</v>
      </c>
      <c r="H85" s="44">
        <v>187298.93</v>
      </c>
      <c r="I85" s="44">
        <v>153492.43</v>
      </c>
      <c r="J85" s="44">
        <v>213752.24</v>
      </c>
      <c r="K85" s="44">
        <v>253736.08</v>
      </c>
      <c r="L85" s="44">
        <v>88130.64</v>
      </c>
      <c r="M85" s="45">
        <f>SUM(B85:L85)</f>
        <v>1987334.7799999998</v>
      </c>
    </row>
    <row r="86" spans="1:13" x14ac:dyDescent="0.25">
      <c r="A86" s="41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0"/>
    </row>
    <row r="87" spans="1:13" x14ac:dyDescent="0.25">
      <c r="A87" s="41" t="s">
        <v>34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0"/>
    </row>
    <row r="88" spans="1:13" x14ac:dyDescent="0.25">
      <c r="A88" s="5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0"/>
    </row>
    <row r="89" spans="1:13" x14ac:dyDescent="0.25">
      <c r="A89" s="54"/>
      <c r="B89" s="29"/>
      <c r="C89" s="55"/>
      <c r="D89" s="29"/>
      <c r="E89" s="29"/>
      <c r="F89" s="29"/>
      <c r="G89" s="29"/>
      <c r="H89" s="29"/>
      <c r="I89" s="29"/>
      <c r="J89" s="29"/>
      <c r="K89" s="29"/>
      <c r="L89" s="29"/>
      <c r="M89" s="30"/>
    </row>
    <row r="90" spans="1:13" x14ac:dyDescent="0.25">
      <c r="A90" s="3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30"/>
    </row>
    <row r="91" spans="1:13" x14ac:dyDescent="0.25">
      <c r="A91" s="3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30"/>
    </row>
    <row r="92" spans="1:13" x14ac:dyDescent="0.25">
      <c r="A92" s="39" t="s">
        <v>27</v>
      </c>
      <c r="B92" s="56">
        <f>B5+B22+B39+B56+B73</f>
        <v>13727243.77</v>
      </c>
      <c r="C92" s="56">
        <f t="shared" ref="C92:L92" si="17">C5+C22+C39+C56+C73</f>
        <v>6685821.4199999999</v>
      </c>
      <c r="D92" s="56">
        <f t="shared" si="17"/>
        <v>15382136.91</v>
      </c>
      <c r="E92" s="56">
        <f t="shared" si="17"/>
        <v>6494944.25</v>
      </c>
      <c r="F92" s="56">
        <f t="shared" si="17"/>
        <v>5504290.3399999999</v>
      </c>
      <c r="G92" s="56">
        <f t="shared" si="17"/>
        <v>4220404.57</v>
      </c>
      <c r="H92" s="56">
        <f t="shared" si="17"/>
        <v>5290242.83</v>
      </c>
      <c r="I92" s="56">
        <f t="shared" si="17"/>
        <v>4328086.71</v>
      </c>
      <c r="J92" s="56">
        <f t="shared" si="17"/>
        <v>7185845.4299999997</v>
      </c>
      <c r="K92" s="56">
        <f t="shared" si="17"/>
        <v>6978439.1400000006</v>
      </c>
      <c r="L92" s="56">
        <f t="shared" si="17"/>
        <v>1309986.4500000002</v>
      </c>
      <c r="M92" s="56">
        <f>SUM(B92:L92)</f>
        <v>77107441.819999993</v>
      </c>
    </row>
    <row r="93" spans="1:13" x14ac:dyDescent="0.25">
      <c r="A93" s="41" t="s">
        <v>29</v>
      </c>
      <c r="B93" s="56">
        <f>'Данные по МКД-1'!C36*'Данные по МКД-1'!C37</f>
        <v>14027652.5448</v>
      </c>
      <c r="C93" s="56">
        <f>'Данные по МКД-1'!D36*'Данные по МКД-1'!D37</f>
        <v>6778127.7645999994</v>
      </c>
      <c r="D93" s="56">
        <f>'Данные по МКД-1'!E36*'Данные по МКД-1'!E37</f>
        <v>14630122.545500001</v>
      </c>
      <c r="E93" s="56">
        <f>'Данные по МКД-1'!F36*'Данные по МКД-1'!F37</f>
        <v>6288502.3320000004</v>
      </c>
      <c r="F93" s="56">
        <f>'Данные по МКД-1'!G36*'Данные по МКД-1'!G37</f>
        <v>5666909.6520000007</v>
      </c>
      <c r="G93" s="56">
        <f>'Данные по МКД-1'!H36*'Данные по МКД-1'!H37</f>
        <v>4033459.7875999999</v>
      </c>
      <c r="H93" s="56">
        <f>'Данные по МКД-1'!I36*'Данные по МКД-1'!I37</f>
        <v>4957709.6960999994</v>
      </c>
      <c r="I93" s="56">
        <f>'Данные по МКД-1'!J36*'Данные по МКД-1'!J37</f>
        <v>4012204.2763999999</v>
      </c>
      <c r="J93" s="56">
        <f>'Данные по МКД-1'!K36*'Данные по МКД-1'!K37</f>
        <v>7011726.9089999991</v>
      </c>
      <c r="K93" s="56">
        <f>'Данные по МКД-1'!L36*'Данные по МКД-1'!L37</f>
        <v>6809652.1069999998</v>
      </c>
      <c r="L93" s="56">
        <f>'Данные по МКД-1'!M36*'Данные по МКД-1'!M37</f>
        <v>870457.59630000009</v>
      </c>
      <c r="M93" s="56">
        <f>SUM(B93:L93)</f>
        <v>75086525.211300001</v>
      </c>
    </row>
    <row r="94" spans="1:13" x14ac:dyDescent="0.25">
      <c r="A94" s="41" t="s">
        <v>30</v>
      </c>
      <c r="B94" s="56">
        <f>'Данные по МКД-3'!C8-'Данные по МКД-3'!C6</f>
        <v>2460304.4655999979</v>
      </c>
      <c r="C94" s="56">
        <f>'Данные по МКД-3'!D8-'Данные по МКД-3'!D6</f>
        <v>1051657.9398000001</v>
      </c>
      <c r="D94" s="56">
        <f>'Данные по МКД-3'!E8-'Данные по МКД-3'!E6</f>
        <v>8452413.7984999977</v>
      </c>
      <c r="E94" s="56">
        <f>'Данные по МКД-3'!F8-'Данные по МКД-3'!F6</f>
        <v>1844207.0963999992</v>
      </c>
      <c r="F94" s="56">
        <f>'Данные по МКД-3'!G8-'Данные по МКД-3'!G6</f>
        <v>1609476.3019999992</v>
      </c>
      <c r="G94" s="56">
        <f>'Данные по МКД-3'!H8-'Данные по МКД-3'!H6</f>
        <v>809876.56350000063</v>
      </c>
      <c r="H94" s="56">
        <f>'Данные по МКД-3'!I8-'Данные по МКД-3'!I6</f>
        <v>1134133.1061</v>
      </c>
      <c r="I94" s="56">
        <f>'Данные по МКД-3'!J8-'Данные по МКД-3'!J6</f>
        <v>1673950.101199999</v>
      </c>
      <c r="J94" s="56">
        <f>'Данные по МКД-3'!K8-'Данные по МКД-3'!K6</f>
        <v>1394088.9111999997</v>
      </c>
      <c r="K94" s="56">
        <f>'Данные по МКД-3'!L8-'Данные по МКД-3'!L6</f>
        <v>1055978.1138000011</v>
      </c>
      <c r="L94" s="56">
        <f>'Данные по МКД-3'!M8-'Данные по МКД-3'!M6</f>
        <v>433911.11040000012</v>
      </c>
      <c r="M94" s="56">
        <f>SUM(B94:L94)</f>
        <v>21919997.508499991</v>
      </c>
    </row>
    <row r="96" spans="1:13" x14ac:dyDescent="0.25">
      <c r="M96" s="57"/>
    </row>
    <row r="97" spans="2:13" x14ac:dyDescent="0.25">
      <c r="B97" s="57">
        <f>B9+B26+B43+B60+B77-B93</f>
        <v>0</v>
      </c>
      <c r="C97" s="57">
        <f t="shared" ref="C97:M97" si="18">C9+C26+C43+C60+C77-C93</f>
        <v>0</v>
      </c>
      <c r="D97" s="57">
        <f t="shared" si="18"/>
        <v>0</v>
      </c>
      <c r="E97" s="57">
        <f t="shared" si="18"/>
        <v>0</v>
      </c>
      <c r="F97" s="57">
        <f t="shared" si="18"/>
        <v>0</v>
      </c>
      <c r="G97" s="57">
        <f t="shared" si="18"/>
        <v>0</v>
      </c>
      <c r="H97" s="57">
        <f t="shared" si="18"/>
        <v>0</v>
      </c>
      <c r="I97" s="57">
        <f t="shared" si="18"/>
        <v>0</v>
      </c>
      <c r="J97" s="57">
        <f t="shared" si="18"/>
        <v>0</v>
      </c>
      <c r="K97" s="57">
        <f t="shared" si="18"/>
        <v>0</v>
      </c>
      <c r="L97" s="57">
        <f t="shared" si="18"/>
        <v>0</v>
      </c>
      <c r="M97" s="57">
        <f t="shared" si="18"/>
        <v>0</v>
      </c>
    </row>
    <row r="98" spans="2:13" x14ac:dyDescent="0.25">
      <c r="B98" s="57">
        <f>B79+B62+B45+B28+B11-B94</f>
        <v>0</v>
      </c>
      <c r="C98" s="57">
        <f t="shared" ref="C98:M98" si="19">C79+C62+C45+C28+C11-C94</f>
        <v>0</v>
      </c>
      <c r="D98" s="57">
        <f t="shared" si="19"/>
        <v>0</v>
      </c>
      <c r="E98" s="57">
        <f t="shared" si="19"/>
        <v>0</v>
      </c>
      <c r="F98" s="57">
        <f t="shared" si="19"/>
        <v>0</v>
      </c>
      <c r="G98" s="57">
        <f t="shared" si="19"/>
        <v>0</v>
      </c>
      <c r="H98" s="57">
        <f t="shared" si="19"/>
        <v>0</v>
      </c>
      <c r="I98" s="57">
        <f t="shared" si="19"/>
        <v>0</v>
      </c>
      <c r="J98" s="57">
        <f t="shared" si="19"/>
        <v>0</v>
      </c>
      <c r="K98" s="57">
        <f t="shared" si="19"/>
        <v>0</v>
      </c>
      <c r="L98" s="57">
        <f t="shared" si="19"/>
        <v>0</v>
      </c>
      <c r="M98" s="57">
        <f t="shared" si="19"/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defaultColWidth="10.140625" defaultRowHeight="15" x14ac:dyDescent="0.25"/>
  <cols>
    <col min="1" max="1" width="83.42578125" style="1" customWidth="1"/>
    <col min="2" max="2" width="17" style="1" customWidth="1"/>
    <col min="3" max="3" width="12.5703125" style="1" customWidth="1"/>
    <col min="4" max="4" width="15.42578125" style="1" customWidth="1"/>
    <col min="5" max="12" width="15.140625" style="1" customWidth="1"/>
    <col min="13" max="13" width="15.7109375" style="1" customWidth="1"/>
    <col min="14" max="16384" width="10.140625" style="1"/>
  </cols>
  <sheetData>
    <row r="1" spans="1:13" x14ac:dyDescent="0.25">
      <c r="A1" s="4" t="s">
        <v>24</v>
      </c>
      <c r="B1" s="58"/>
    </row>
    <row r="2" spans="1:13" ht="66.75" customHeight="1" x14ac:dyDescent="0.25">
      <c r="A2" s="3" t="s">
        <v>42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87</v>
      </c>
      <c r="M2" s="9" t="s">
        <v>11</v>
      </c>
    </row>
    <row r="3" spans="1:13" x14ac:dyDescent="0.25">
      <c r="A3" s="59" t="s">
        <v>43</v>
      </c>
      <c r="B3" s="60">
        <f>593918.85-339.69+557439.05</f>
        <v>1151018.21</v>
      </c>
      <c r="C3" s="60">
        <f>-76.52+315669.08+188177.71</f>
        <v>503770.27</v>
      </c>
      <c r="D3" s="60">
        <f>762890.5-548.38+477784.46-3605.86</f>
        <v>1236520.72</v>
      </c>
      <c r="E3" s="60">
        <f>275422.43-146.6+346405.18</f>
        <v>621681.01</v>
      </c>
      <c r="F3" s="61">
        <f>231094.96+185039.64</f>
        <v>416134.6</v>
      </c>
      <c r="G3" s="62">
        <f>190263.84+91933.59-55.47</f>
        <v>282141.96000000002</v>
      </c>
      <c r="H3" s="62">
        <f>217944.82+136505.01</f>
        <v>354449.83</v>
      </c>
      <c r="I3" s="62">
        <f>179924.69-1360.97+282207.2-11794.28</f>
        <v>448976.64000000001</v>
      </c>
      <c r="J3" s="62">
        <f>275727.12+213046.63</f>
        <v>488773.75</v>
      </c>
      <c r="K3" s="62">
        <f>262446.83-65.75+175027.74</f>
        <v>437408.82</v>
      </c>
      <c r="L3" s="63">
        <f>106706.32-72.52</f>
        <v>106633.8</v>
      </c>
      <c r="M3" s="64">
        <f t="shared" ref="M3:M20" si="0">SUM(B3:L3)</f>
        <v>6047509.6100000003</v>
      </c>
    </row>
    <row r="4" spans="1:13" ht="28.5" x14ac:dyDescent="0.25">
      <c r="A4" s="59" t="s">
        <v>44</v>
      </c>
      <c r="B4" s="65">
        <f>1556470.39-890.23+664457.04-380.04+270792.2-154.89+691707.24</f>
        <v>3182001.71</v>
      </c>
      <c r="C4" s="60">
        <f>-209.02+862312.3-77.85+319713.57-31.73+130889.21+329195.64</f>
        <v>1641792.12</v>
      </c>
      <c r="D4" s="65">
        <f>3942763.32+559153.8-3367.43+942237.84</f>
        <v>5440787.5300000003</v>
      </c>
      <c r="E4" s="65">
        <f>1691285.15-900.21+400219.57</f>
        <v>2090604.51</v>
      </c>
      <c r="F4" s="66">
        <f>747860.72+476259.57+200357.1</f>
        <v>1424477.3900000001</v>
      </c>
      <c r="G4" s="62">
        <f>615728.4+215939.41+164704.32</f>
        <v>996372.13000000012</v>
      </c>
      <c r="H4" s="62">
        <f>705302.86+421545.01+182157.12</f>
        <v>1309004.9900000002</v>
      </c>
      <c r="I4" s="62">
        <f>581673.44-3812.48+292116.64+154487.35-1231.03</f>
        <v>1023233.9199999999</v>
      </c>
      <c r="J4" s="62">
        <f>892304.4+247890.24+311683.93+837.79+1393.28</f>
        <v>1454109.6400000001</v>
      </c>
      <c r="K4" s="62">
        <f>849326.8-212.79+237389.48-59.48+397871.37</f>
        <v>1484315.38</v>
      </c>
      <c r="L4" s="63">
        <f>209856.18-142.62+87906.1-59.74+16080.35</f>
        <v>313640.27</v>
      </c>
      <c r="M4" s="67">
        <f t="shared" si="0"/>
        <v>20360339.59</v>
      </c>
    </row>
    <row r="5" spans="1:13" x14ac:dyDescent="0.25">
      <c r="A5" s="59" t="s">
        <v>45</v>
      </c>
      <c r="B5" s="65">
        <f>848778.3-485.46</f>
        <v>848292.84000000008</v>
      </c>
      <c r="C5" s="65">
        <f>-99.45+410259.93</f>
        <v>410160.48</v>
      </c>
      <c r="D5" s="65"/>
      <c r="E5" s="65"/>
      <c r="F5" s="66">
        <f>321673.76</f>
        <v>321673.76</v>
      </c>
      <c r="G5" s="62">
        <v>264840.48</v>
      </c>
      <c r="H5" s="62">
        <v>303370.71999999997</v>
      </c>
      <c r="I5" s="62">
        <f>250447.65-1894.41</f>
        <v>248553.24</v>
      </c>
      <c r="J5" s="62">
        <v>383804.28</v>
      </c>
      <c r="K5" s="62">
        <f>365317.66-91.52</f>
        <v>365226.13999999996</v>
      </c>
      <c r="L5" s="63">
        <f>133385.21-90.65</f>
        <v>133294.56</v>
      </c>
      <c r="M5" s="67">
        <f t="shared" si="0"/>
        <v>3279216.5000000009</v>
      </c>
    </row>
    <row r="6" spans="1:13" ht="28.5" x14ac:dyDescent="0.25">
      <c r="A6" s="59" t="s">
        <v>46</v>
      </c>
      <c r="B6" s="65"/>
      <c r="C6" s="65"/>
      <c r="D6" s="65"/>
      <c r="E6" s="65"/>
      <c r="F6" s="66"/>
      <c r="G6" s="62"/>
      <c r="H6" s="62"/>
      <c r="I6" s="62"/>
      <c r="J6" s="62"/>
      <c r="K6" s="62"/>
      <c r="L6" s="63"/>
      <c r="M6" s="67">
        <f t="shared" si="0"/>
        <v>0</v>
      </c>
    </row>
    <row r="7" spans="1:13" ht="28.5" x14ac:dyDescent="0.25">
      <c r="A7" s="59" t="s">
        <v>47</v>
      </c>
      <c r="B7" s="65">
        <f>-154.89+270792.2+639429.68</f>
        <v>910066.99</v>
      </c>
      <c r="C7" s="65">
        <f>-34.39+141888.07</f>
        <v>141853.68</v>
      </c>
      <c r="D7" s="65">
        <f>1368596.18-983.77</f>
        <v>1367612.41</v>
      </c>
      <c r="E7" s="65">
        <f>494102.04-262.99</f>
        <v>493839.05</v>
      </c>
      <c r="F7" s="66">
        <f>17200.32</f>
        <v>17200.32</v>
      </c>
      <c r="G7" s="62">
        <v>14664.12</v>
      </c>
      <c r="H7" s="62">
        <v>390986.08</v>
      </c>
      <c r="I7" s="62">
        <f>322778.77-2441.53</f>
        <v>320337.24</v>
      </c>
      <c r="J7" s="62">
        <v>494649.72</v>
      </c>
      <c r="K7" s="62">
        <f>470824.08-117.96</f>
        <v>470706.12</v>
      </c>
      <c r="L7" s="63"/>
      <c r="M7" s="67">
        <f t="shared" si="0"/>
        <v>4621915.7299999995</v>
      </c>
    </row>
    <row r="8" spans="1:13" ht="28.5" x14ac:dyDescent="0.25">
      <c r="A8" s="59" t="s">
        <v>48</v>
      </c>
      <c r="B8" s="65"/>
      <c r="C8" s="65"/>
      <c r="D8" s="65"/>
      <c r="E8" s="65"/>
      <c r="F8" s="66"/>
      <c r="G8" s="62"/>
      <c r="H8" s="62"/>
      <c r="I8" s="62"/>
      <c r="J8" s="62"/>
      <c r="K8" s="62"/>
      <c r="L8" s="63"/>
      <c r="M8" s="67">
        <f t="shared" si="0"/>
        <v>0</v>
      </c>
    </row>
    <row r="9" spans="1:13" ht="42.75" x14ac:dyDescent="0.25">
      <c r="A9" s="59" t="s">
        <v>49</v>
      </c>
      <c r="B9" s="65">
        <f>-83.3-33.83-365.71+59164.08+145634.66+147926.04-84.6</f>
        <v>352157.34000000008</v>
      </c>
      <c r="C9" s="65">
        <f>-17.06-6.93-74.92+28466.37+70393.94+309069.28+71176.49-17.33</f>
        <v>478989.84</v>
      </c>
      <c r="D9" s="65">
        <f>312970.03-267.3</f>
        <v>312702.73000000004</v>
      </c>
      <c r="E9" s="65">
        <f>134253.95-71.46</f>
        <v>134182.49000000002</v>
      </c>
      <c r="F9" s="66">
        <f>141363.59+5829.84</f>
        <v>147193.43</v>
      </c>
      <c r="G9" s="62">
        <v>116208.84</v>
      </c>
      <c r="H9" s="62">
        <v>98164.96</v>
      </c>
      <c r="I9" s="62">
        <f>83252.55-663.39</f>
        <v>82589.16</v>
      </c>
      <c r="J9" s="62">
        <f>133587.24+1016.4</f>
        <v>134603.63999999998</v>
      </c>
      <c r="K9" s="62">
        <f>127928.18-32.05</f>
        <v>127896.12999999999</v>
      </c>
      <c r="L9" s="63">
        <f>8637.71-5.87+7113.96-4.83+101879.55-69.24</f>
        <v>117551.28</v>
      </c>
      <c r="M9" s="67">
        <f t="shared" si="0"/>
        <v>2102239.84</v>
      </c>
    </row>
    <row r="10" spans="1:13" x14ac:dyDescent="0.25">
      <c r="A10" s="59" t="s">
        <v>50</v>
      </c>
      <c r="B10" s="65"/>
      <c r="C10" s="65"/>
      <c r="D10" s="65"/>
      <c r="E10" s="65"/>
      <c r="F10" s="68"/>
      <c r="G10" s="62"/>
      <c r="H10" s="62"/>
      <c r="I10" s="62"/>
      <c r="J10" s="62"/>
      <c r="K10" s="62"/>
      <c r="L10" s="63"/>
      <c r="M10" s="67">
        <f t="shared" si="0"/>
        <v>0</v>
      </c>
    </row>
    <row r="11" spans="1:13" x14ac:dyDescent="0.25">
      <c r="A11" s="59" t="s">
        <v>51</v>
      </c>
      <c r="B11" s="65">
        <f>461936.25-264.21</f>
        <v>461672.04</v>
      </c>
      <c r="C11" s="65">
        <f>243070.11-59.19</f>
        <v>243010.91999999998</v>
      </c>
      <c r="D11" s="65">
        <f>1105081.09-945.19</f>
        <v>1104135.9000000001</v>
      </c>
      <c r="E11" s="65">
        <f>468221.37-221.86</f>
        <v>467999.51</v>
      </c>
      <c r="F11" s="68">
        <f>379842.58</f>
        <v>379842.58</v>
      </c>
      <c r="G11" s="62">
        <v>313854.12</v>
      </c>
      <c r="H11" s="62">
        <v>345922.52</v>
      </c>
      <c r="I11" s="62">
        <f>287074.76-2344.43</f>
        <v>284730.33</v>
      </c>
      <c r="J11" s="62">
        <v>450526.46</v>
      </c>
      <c r="K11" s="62">
        <f>417055.68-117.1</f>
        <v>416938.58</v>
      </c>
      <c r="L11" s="63"/>
      <c r="M11" s="67">
        <f t="shared" si="0"/>
        <v>4468632.96</v>
      </c>
    </row>
    <row r="12" spans="1:13" x14ac:dyDescent="0.25">
      <c r="A12" s="59" t="s">
        <v>52</v>
      </c>
      <c r="B12" s="65">
        <f>120605.02-68.98</f>
        <v>120536.04000000001</v>
      </c>
      <c r="C12" s="65">
        <f>58296.21-14.13</f>
        <v>58282.080000000002</v>
      </c>
      <c r="D12" s="65">
        <f>390403.76-333.43</f>
        <v>390070.33</v>
      </c>
      <c r="E12" s="65">
        <f>167471.59-89.14</f>
        <v>167382.44999999998</v>
      </c>
      <c r="F12" s="66">
        <f>47863.64</f>
        <v>47863.64</v>
      </c>
      <c r="G12" s="62">
        <v>39346.92</v>
      </c>
      <c r="H12" s="62">
        <v>122451.74</v>
      </c>
      <c r="I12" s="62">
        <f>103850.16-827.52</f>
        <v>103022.64</v>
      </c>
      <c r="J12" s="62">
        <v>166641.72</v>
      </c>
      <c r="K12" s="62">
        <f>159581.9-39.99</f>
        <v>159541.91</v>
      </c>
      <c r="L12" s="63"/>
      <c r="M12" s="67">
        <f t="shared" si="0"/>
        <v>1375139.4699999997</v>
      </c>
    </row>
    <row r="13" spans="1:13" x14ac:dyDescent="0.25">
      <c r="A13" s="59" t="s">
        <v>53</v>
      </c>
      <c r="B13" s="65">
        <f>-49.45+86471.65</f>
        <v>86422.2</v>
      </c>
      <c r="C13" s="65">
        <f>-10.13+41794.85</f>
        <v>41784.720000000001</v>
      </c>
      <c r="D13" s="65"/>
      <c r="E13" s="65"/>
      <c r="F13" s="66"/>
      <c r="G13" s="62"/>
      <c r="H13" s="62"/>
      <c r="I13" s="62"/>
      <c r="J13" s="62"/>
      <c r="K13" s="62"/>
      <c r="L13" s="63"/>
      <c r="M13" s="67">
        <f t="shared" si="0"/>
        <v>128206.92</v>
      </c>
    </row>
    <row r="14" spans="1:13" ht="28.5" x14ac:dyDescent="0.25">
      <c r="A14" s="59" t="s">
        <v>54</v>
      </c>
      <c r="B14" s="65"/>
      <c r="C14" s="65"/>
      <c r="D14" s="65"/>
      <c r="E14" s="65"/>
      <c r="F14" s="66"/>
      <c r="G14" s="62"/>
      <c r="H14" s="62"/>
      <c r="I14" s="62"/>
      <c r="J14" s="62"/>
      <c r="K14" s="62"/>
      <c r="L14" s="63"/>
      <c r="M14" s="67">
        <f t="shared" si="0"/>
        <v>0</v>
      </c>
    </row>
    <row r="15" spans="1:13" ht="42.75" x14ac:dyDescent="0.25">
      <c r="A15" s="59" t="s">
        <v>55</v>
      </c>
      <c r="B15" s="65">
        <f>555232.12-317.57</f>
        <v>554914.55000000005</v>
      </c>
      <c r="C15" s="65">
        <f>290371.27-70.39</f>
        <v>290300.88</v>
      </c>
      <c r="D15" s="65">
        <f>1203751.4-865.28</f>
        <v>1202886.1199999999</v>
      </c>
      <c r="E15" s="65">
        <f>434585.75-231.31</f>
        <v>434354.44</v>
      </c>
      <c r="F15" s="66">
        <f>364639.97</f>
        <v>364639.97</v>
      </c>
      <c r="G15" s="62">
        <v>300215.40000000002</v>
      </c>
      <c r="H15" s="62">
        <v>343889.5</v>
      </c>
      <c r="I15" s="62">
        <f>283899.42-2147.46</f>
        <v>281751.95999999996</v>
      </c>
      <c r="J15" s="62">
        <f>435066.96</f>
        <v>435066.96</v>
      </c>
      <c r="K15" s="62">
        <f>414112.76-103.75</f>
        <v>414009.01</v>
      </c>
      <c r="L15" s="63">
        <f>83332.76-56.63</f>
        <v>83276.12999999999</v>
      </c>
      <c r="M15" s="67">
        <f t="shared" si="0"/>
        <v>4705304.92</v>
      </c>
    </row>
    <row r="16" spans="1:13" x14ac:dyDescent="0.25">
      <c r="A16" s="59" t="s">
        <v>56</v>
      </c>
      <c r="B16" s="65">
        <f>500619.13-286.33</f>
        <v>500332.79999999999</v>
      </c>
      <c r="C16" s="65">
        <f>258480.97-62.65</f>
        <v>258418.32</v>
      </c>
      <c r="D16" s="65">
        <f>1307256.68-939.69</f>
        <v>1306316.99</v>
      </c>
      <c r="E16" s="65">
        <f>471958.41-251.2</f>
        <v>471707.20999999996</v>
      </c>
      <c r="F16" s="66">
        <v>395994.74</v>
      </c>
      <c r="G16" s="62">
        <v>326031.84000000003</v>
      </c>
      <c r="H16" s="62">
        <v>373462.1</v>
      </c>
      <c r="I16" s="62">
        <f>308311.71-2332.11</f>
        <v>305979.60000000003</v>
      </c>
      <c r="J16" s="62">
        <v>472483.08</v>
      </c>
      <c r="K16" s="62">
        <f>449724.6-112.69</f>
        <v>449611.91</v>
      </c>
      <c r="L16" s="63">
        <f>116868.83-79.43</f>
        <v>116789.40000000001</v>
      </c>
      <c r="M16" s="67">
        <f t="shared" si="0"/>
        <v>4977127.99</v>
      </c>
    </row>
    <row r="17" spans="1:13" x14ac:dyDescent="0.25">
      <c r="A17" s="59" t="s">
        <v>57</v>
      </c>
      <c r="B17" s="65">
        <f>336781.22-192.62</f>
        <v>336588.6</v>
      </c>
      <c r="C17" s="65">
        <f>162782.38-39.46</f>
        <v>162742.92000000001</v>
      </c>
      <c r="D17" s="65">
        <f>219400.6+38718.09+38335.99-33.08-27.55-187.37</f>
        <v>296206.68</v>
      </c>
      <c r="E17" s="65">
        <f>94114.91+16607.25+13840.31-8.84-7.37-50.09</f>
        <v>124496.17000000001</v>
      </c>
      <c r="F17" s="66">
        <f>104514.75</f>
        <v>104514.75</v>
      </c>
      <c r="G17" s="62">
        <f>82352.16+903.6</f>
        <v>83255.760000000009</v>
      </c>
      <c r="H17" s="62">
        <v>1830.6</v>
      </c>
      <c r="I17" s="62">
        <v>1009.32</v>
      </c>
      <c r="J17" s="62">
        <v>756</v>
      </c>
      <c r="K17" s="62"/>
      <c r="L17" s="63">
        <f>119663.94-81.33</f>
        <v>119582.61</v>
      </c>
      <c r="M17" s="67">
        <f t="shared" si="0"/>
        <v>1230983.4100000001</v>
      </c>
    </row>
    <row r="18" spans="1:13" x14ac:dyDescent="0.25">
      <c r="A18" s="59" t="s">
        <v>58</v>
      </c>
      <c r="B18" s="65"/>
      <c r="C18" s="65"/>
      <c r="D18" s="65"/>
      <c r="E18" s="65"/>
      <c r="F18" s="66"/>
      <c r="G18" s="62"/>
      <c r="H18" s="62"/>
      <c r="I18" s="62"/>
      <c r="J18" s="62"/>
      <c r="K18" s="62"/>
      <c r="L18" s="63"/>
      <c r="M18" s="67">
        <f t="shared" si="0"/>
        <v>0</v>
      </c>
    </row>
    <row r="19" spans="1:13" x14ac:dyDescent="0.25">
      <c r="A19" s="59" t="s">
        <v>59</v>
      </c>
      <c r="B19" s="69"/>
      <c r="C19" s="69"/>
      <c r="D19" s="69"/>
      <c r="E19" s="69"/>
      <c r="F19" s="70"/>
      <c r="G19" s="71"/>
      <c r="H19" s="71"/>
      <c r="I19" s="71"/>
      <c r="J19" s="71"/>
      <c r="K19" s="71"/>
      <c r="L19" s="72"/>
      <c r="M19" s="67">
        <f t="shared" si="0"/>
        <v>0</v>
      </c>
    </row>
    <row r="20" spans="1:13" x14ac:dyDescent="0.25">
      <c r="B20" s="73">
        <f t="shared" ref="B20:L20" si="1">SUM(B3:B19)</f>
        <v>8504003.3200000003</v>
      </c>
      <c r="C20" s="74">
        <f t="shared" si="1"/>
        <v>4231106.2300000004</v>
      </c>
      <c r="D20" s="74">
        <f t="shared" si="1"/>
        <v>12657239.41</v>
      </c>
      <c r="E20" s="74">
        <f t="shared" si="1"/>
        <v>5006246.8400000008</v>
      </c>
      <c r="F20" s="74">
        <f t="shared" si="1"/>
        <v>3619535.1800000006</v>
      </c>
      <c r="G20" s="74">
        <f t="shared" si="1"/>
        <v>2736931.5700000003</v>
      </c>
      <c r="H20" s="74">
        <f t="shared" si="1"/>
        <v>3643533.0400000005</v>
      </c>
      <c r="I20" s="74">
        <f t="shared" si="1"/>
        <v>3100184.0500000003</v>
      </c>
      <c r="J20" s="74">
        <f t="shared" si="1"/>
        <v>4481415.25</v>
      </c>
      <c r="K20" s="74">
        <f t="shared" si="1"/>
        <v>4325654</v>
      </c>
      <c r="L20" s="74">
        <f t="shared" si="1"/>
        <v>990768.05</v>
      </c>
      <c r="M20" s="75">
        <f t="shared" si="0"/>
        <v>53296616.939999998</v>
      </c>
    </row>
    <row r="21" spans="1:13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N20" sqref="N4:N20"/>
    </sheetView>
  </sheetViews>
  <sheetFormatPr defaultColWidth="10.140625" defaultRowHeight="15" x14ac:dyDescent="0.25"/>
  <cols>
    <col min="1" max="1" width="6.140625" style="1" customWidth="1"/>
    <col min="2" max="2" width="85" style="1" customWidth="1"/>
    <col min="3" max="3" width="18.28515625" style="1" customWidth="1"/>
    <col min="4" max="4" width="12.5703125" style="1" customWidth="1"/>
    <col min="5" max="5" width="14.7109375" style="1" customWidth="1"/>
    <col min="6" max="13" width="12.5703125" style="1" customWidth="1"/>
    <col min="14" max="14" width="14" style="1" customWidth="1"/>
    <col min="15" max="16384" width="10.140625" style="1"/>
  </cols>
  <sheetData>
    <row r="1" spans="1:15" x14ac:dyDescent="0.25">
      <c r="B1" s="4" t="s">
        <v>24</v>
      </c>
    </row>
    <row r="2" spans="1:15" x14ac:dyDescent="0.25">
      <c r="B2" s="5" t="s">
        <v>60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58"/>
    </row>
    <row r="3" spans="1:15" ht="102.75" customHeight="1" x14ac:dyDescent="0.25">
      <c r="A3" s="78"/>
      <c r="B3" s="79" t="s">
        <v>61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8" t="s">
        <v>87</v>
      </c>
      <c r="N3" s="9" t="s">
        <v>11</v>
      </c>
      <c r="O3" s="80"/>
    </row>
    <row r="4" spans="1:15" x14ac:dyDescent="0.25">
      <c r="A4" s="62">
        <v>1</v>
      </c>
      <c r="B4" s="81" t="s">
        <v>43</v>
      </c>
      <c r="C4" s="82">
        <f>'Данные по МКД-6'!B3</f>
        <v>1151018.21</v>
      </c>
      <c r="D4" s="82">
        <f>'Данные по МКД-6'!C3</f>
        <v>503770.27</v>
      </c>
      <c r="E4" s="82">
        <f>'Данные по МКД-6'!D3</f>
        <v>1236520.72</v>
      </c>
      <c r="F4" s="82">
        <f>'Данные по МКД-6'!E3</f>
        <v>621681.01</v>
      </c>
      <c r="G4" s="82">
        <f>'Данные по МКД-6'!F3</f>
        <v>416134.6</v>
      </c>
      <c r="H4" s="82">
        <f>'Данные по МКД-6'!G3</f>
        <v>282141.96000000002</v>
      </c>
      <c r="I4" s="82">
        <f>'Данные по МКД-6'!H3</f>
        <v>354449.83</v>
      </c>
      <c r="J4" s="82">
        <f>'Данные по МКД-6'!I3</f>
        <v>448976.64000000001</v>
      </c>
      <c r="K4" s="82">
        <f>'Данные по МКД-6'!J3</f>
        <v>488773.75</v>
      </c>
      <c r="L4" s="82">
        <f>'Данные по МКД-6'!K3</f>
        <v>437408.82</v>
      </c>
      <c r="M4" s="82">
        <f>'Данные по МКД-6'!L3</f>
        <v>106633.8</v>
      </c>
      <c r="N4" s="83">
        <f t="shared" ref="N4:N21" si="0">SUM(C4:M4)</f>
        <v>6047509.6100000003</v>
      </c>
      <c r="O4" s="58"/>
    </row>
    <row r="5" spans="1:15" ht="28.5" x14ac:dyDescent="0.25">
      <c r="A5" s="62">
        <v>2</v>
      </c>
      <c r="B5" s="81" t="s">
        <v>44</v>
      </c>
      <c r="C5" s="82">
        <f>'Данные по МКД-6'!B4</f>
        <v>3182001.71</v>
      </c>
      <c r="D5" s="82">
        <f>'Данные по МКД-6'!C4</f>
        <v>1641792.12</v>
      </c>
      <c r="E5" s="82">
        <f>'Данные по МКД-6'!D4</f>
        <v>5440787.5300000003</v>
      </c>
      <c r="F5" s="82">
        <f>'Данные по МКД-6'!E4</f>
        <v>2090604.51</v>
      </c>
      <c r="G5" s="82">
        <f>'Данные по МКД-6'!F4</f>
        <v>1424477.3900000001</v>
      </c>
      <c r="H5" s="82">
        <f>'Данные по МКД-6'!G4</f>
        <v>996372.13000000012</v>
      </c>
      <c r="I5" s="82">
        <f>'Данные по МКД-6'!H4</f>
        <v>1309004.9900000002</v>
      </c>
      <c r="J5" s="82">
        <f>'Данные по МКД-6'!I4</f>
        <v>1023233.9199999999</v>
      </c>
      <c r="K5" s="82">
        <f>'Данные по МКД-6'!J4</f>
        <v>1454109.6400000001</v>
      </c>
      <c r="L5" s="82">
        <f>'Данные по МКД-6'!K4</f>
        <v>1484315.38</v>
      </c>
      <c r="M5" s="82">
        <f>'Данные по МКД-6'!L4</f>
        <v>313640.27</v>
      </c>
      <c r="N5" s="67">
        <f t="shared" si="0"/>
        <v>20360339.59</v>
      </c>
      <c r="O5" s="58"/>
    </row>
    <row r="6" spans="1:15" x14ac:dyDescent="0.25">
      <c r="A6" s="62">
        <v>3</v>
      </c>
      <c r="B6" s="81" t="s">
        <v>45</v>
      </c>
      <c r="C6" s="82">
        <f>'Данные по МКД-6'!B5</f>
        <v>848292.84000000008</v>
      </c>
      <c r="D6" s="82">
        <f>'Данные по МКД-6'!C5</f>
        <v>410160.48</v>
      </c>
      <c r="E6" s="82">
        <f>'Данные по МКД-6'!D5</f>
        <v>0</v>
      </c>
      <c r="F6" s="82">
        <f>'Данные по МКД-6'!E5</f>
        <v>0</v>
      </c>
      <c r="G6" s="82">
        <f>'Данные по МКД-6'!F5</f>
        <v>321673.76</v>
      </c>
      <c r="H6" s="82">
        <f>'Данные по МКД-6'!G5</f>
        <v>264840.48</v>
      </c>
      <c r="I6" s="82">
        <f>'Данные по МКД-6'!H5</f>
        <v>303370.71999999997</v>
      </c>
      <c r="J6" s="82">
        <f>'Данные по МКД-6'!I5</f>
        <v>248553.24</v>
      </c>
      <c r="K6" s="82">
        <f>'Данные по МКД-6'!J5</f>
        <v>383804.28</v>
      </c>
      <c r="L6" s="82">
        <f>'Данные по МКД-6'!K5</f>
        <v>365226.13999999996</v>
      </c>
      <c r="M6" s="82">
        <f>'Данные по МКД-6'!L5</f>
        <v>133294.56</v>
      </c>
      <c r="N6" s="67">
        <f t="shared" si="0"/>
        <v>3279216.5000000009</v>
      </c>
      <c r="O6" s="58"/>
    </row>
    <row r="7" spans="1:15" ht="28.5" x14ac:dyDescent="0.25">
      <c r="A7" s="62">
        <v>4</v>
      </c>
      <c r="B7" s="81" t="s">
        <v>46</v>
      </c>
      <c r="C7" s="82">
        <f>'Данные по МКД-6'!B6</f>
        <v>0</v>
      </c>
      <c r="D7" s="82">
        <f>'Данные по МКД-6'!C6</f>
        <v>0</v>
      </c>
      <c r="E7" s="82">
        <f>'Данные по МКД-6'!D6</f>
        <v>0</v>
      </c>
      <c r="F7" s="82">
        <f>'Данные по МКД-6'!E6</f>
        <v>0</v>
      </c>
      <c r="G7" s="82">
        <f>'Данные по МКД-6'!F6</f>
        <v>0</v>
      </c>
      <c r="H7" s="82">
        <f>'Данные по МКД-6'!G6</f>
        <v>0</v>
      </c>
      <c r="I7" s="82">
        <f>'Данные по МКД-6'!H6</f>
        <v>0</v>
      </c>
      <c r="J7" s="82">
        <f>'Данные по МКД-6'!I6</f>
        <v>0</v>
      </c>
      <c r="K7" s="82">
        <f>'Данные по МКД-6'!J6</f>
        <v>0</v>
      </c>
      <c r="L7" s="82">
        <f>'Данные по МКД-6'!K6</f>
        <v>0</v>
      </c>
      <c r="M7" s="82">
        <f>'Данные по МКД-6'!L6</f>
        <v>0</v>
      </c>
      <c r="N7" s="67">
        <f t="shared" si="0"/>
        <v>0</v>
      </c>
      <c r="O7" s="58"/>
    </row>
    <row r="8" spans="1:15" ht="28.5" x14ac:dyDescent="0.25">
      <c r="A8" s="62">
        <v>5</v>
      </c>
      <c r="B8" s="81" t="s">
        <v>47</v>
      </c>
      <c r="C8" s="82">
        <f>'Данные по МКД-6'!B7</f>
        <v>910066.99</v>
      </c>
      <c r="D8" s="82">
        <f>'Данные по МКД-6'!C7</f>
        <v>141853.68</v>
      </c>
      <c r="E8" s="82">
        <f>'Данные по МКД-6'!D7</f>
        <v>1367612.41</v>
      </c>
      <c r="F8" s="82">
        <f>'Данные по МКД-6'!E7</f>
        <v>493839.05</v>
      </c>
      <c r="G8" s="82">
        <f>'Данные по МКД-6'!F7</f>
        <v>17200.32</v>
      </c>
      <c r="H8" s="82">
        <f>'Данные по МКД-6'!G7</f>
        <v>14664.12</v>
      </c>
      <c r="I8" s="82">
        <f>'Данные по МКД-6'!H7</f>
        <v>390986.08</v>
      </c>
      <c r="J8" s="82">
        <f>'Данные по МКД-6'!I7</f>
        <v>320337.24</v>
      </c>
      <c r="K8" s="82">
        <f>'Данные по МКД-6'!J7</f>
        <v>494649.72</v>
      </c>
      <c r="L8" s="82">
        <f>'Данные по МКД-6'!K7</f>
        <v>470706.12</v>
      </c>
      <c r="M8" s="82">
        <f>'Данные по МКД-6'!L7</f>
        <v>0</v>
      </c>
      <c r="N8" s="67">
        <f t="shared" si="0"/>
        <v>4621915.7299999995</v>
      </c>
      <c r="O8" s="58"/>
    </row>
    <row r="9" spans="1:15" ht="14.45" customHeight="1" x14ac:dyDescent="0.25">
      <c r="A9" s="62">
        <v>6</v>
      </c>
      <c r="B9" s="81" t="s">
        <v>48</v>
      </c>
      <c r="C9" s="82">
        <f>'Данные по МКД-6'!B8</f>
        <v>0</v>
      </c>
      <c r="D9" s="82">
        <f>'Данные по МКД-6'!C8</f>
        <v>0</v>
      </c>
      <c r="E9" s="82">
        <f>'Данные по МКД-6'!D8</f>
        <v>0</v>
      </c>
      <c r="F9" s="82">
        <f>'Данные по МКД-6'!E8</f>
        <v>0</v>
      </c>
      <c r="G9" s="82">
        <f>'Данные по МКД-6'!F8</f>
        <v>0</v>
      </c>
      <c r="H9" s="82">
        <f>'Данные по МКД-6'!G8</f>
        <v>0</v>
      </c>
      <c r="I9" s="82">
        <f>'Данные по МКД-6'!H8</f>
        <v>0</v>
      </c>
      <c r="J9" s="82">
        <f>'Данные по МКД-6'!I8</f>
        <v>0</v>
      </c>
      <c r="K9" s="82">
        <f>'Данные по МКД-6'!J8</f>
        <v>0</v>
      </c>
      <c r="L9" s="82">
        <f>'Данные по МКД-6'!K8</f>
        <v>0</v>
      </c>
      <c r="M9" s="82">
        <f>'Данные по МКД-6'!L8</f>
        <v>0</v>
      </c>
      <c r="N9" s="67">
        <f t="shared" si="0"/>
        <v>0</v>
      </c>
      <c r="O9" s="58"/>
    </row>
    <row r="10" spans="1:15" ht="14.45" customHeight="1" x14ac:dyDescent="0.25">
      <c r="A10" s="62">
        <v>7</v>
      </c>
      <c r="B10" s="81" t="s">
        <v>49</v>
      </c>
      <c r="C10" s="82">
        <f>'Данные по МКД-6'!B9</f>
        <v>352157.34000000008</v>
      </c>
      <c r="D10" s="82">
        <f>'Данные по МКД-6'!C9</f>
        <v>478989.84</v>
      </c>
      <c r="E10" s="82">
        <f>'Данные по МКД-6'!D9</f>
        <v>312702.73000000004</v>
      </c>
      <c r="F10" s="82">
        <f>'Данные по МКД-6'!E9</f>
        <v>134182.49000000002</v>
      </c>
      <c r="G10" s="82">
        <f>'Данные по МКД-6'!F9</f>
        <v>147193.43</v>
      </c>
      <c r="H10" s="82">
        <f>'Данные по МКД-6'!G9</f>
        <v>116208.84</v>
      </c>
      <c r="I10" s="82">
        <f>'Данные по МКД-6'!H9</f>
        <v>98164.96</v>
      </c>
      <c r="J10" s="82">
        <f>'Данные по МКД-6'!I9</f>
        <v>82589.16</v>
      </c>
      <c r="K10" s="82">
        <f>'Данные по МКД-6'!J9</f>
        <v>134603.63999999998</v>
      </c>
      <c r="L10" s="82">
        <f>'Данные по МКД-6'!K9</f>
        <v>127896.12999999999</v>
      </c>
      <c r="M10" s="82">
        <f>'Данные по МКД-6'!L9</f>
        <v>117551.28</v>
      </c>
      <c r="N10" s="67">
        <f t="shared" si="0"/>
        <v>2102239.84</v>
      </c>
      <c r="O10" s="58"/>
    </row>
    <row r="11" spans="1:15" x14ac:dyDescent="0.25">
      <c r="A11" s="62">
        <v>8</v>
      </c>
      <c r="B11" s="81" t="s">
        <v>50</v>
      </c>
      <c r="C11" s="82">
        <f>'Данные по МКД-6'!B10</f>
        <v>0</v>
      </c>
      <c r="D11" s="82">
        <f>'Данные по МКД-6'!C10</f>
        <v>0</v>
      </c>
      <c r="E11" s="82">
        <f>'Данные по МКД-6'!D10</f>
        <v>0</v>
      </c>
      <c r="F11" s="82">
        <f>'Данные по МКД-6'!E10</f>
        <v>0</v>
      </c>
      <c r="G11" s="82">
        <f>'Данные по МКД-6'!F10</f>
        <v>0</v>
      </c>
      <c r="H11" s="82">
        <f>'Данные по МКД-6'!G10</f>
        <v>0</v>
      </c>
      <c r="I11" s="82">
        <f>'Данные по МКД-6'!H10</f>
        <v>0</v>
      </c>
      <c r="J11" s="82">
        <f>'Данные по МКД-6'!I10</f>
        <v>0</v>
      </c>
      <c r="K11" s="82">
        <f>'Данные по МКД-6'!J10</f>
        <v>0</v>
      </c>
      <c r="L11" s="82">
        <f>'Данные по МКД-6'!K10</f>
        <v>0</v>
      </c>
      <c r="M11" s="82">
        <f>'Данные по МКД-6'!L10</f>
        <v>0</v>
      </c>
      <c r="N11" s="67">
        <f t="shared" si="0"/>
        <v>0</v>
      </c>
      <c r="O11" s="58"/>
    </row>
    <row r="12" spans="1:15" x14ac:dyDescent="0.25">
      <c r="A12" s="62">
        <v>9</v>
      </c>
      <c r="B12" s="81" t="s">
        <v>51</v>
      </c>
      <c r="C12" s="82">
        <f>'Данные по МКД-6'!B11</f>
        <v>461672.04</v>
      </c>
      <c r="D12" s="82">
        <f>'Данные по МКД-6'!C11</f>
        <v>243010.91999999998</v>
      </c>
      <c r="E12" s="82">
        <f>'Данные по МКД-6'!D11</f>
        <v>1104135.9000000001</v>
      </c>
      <c r="F12" s="82">
        <f>'Данные по МКД-6'!E11</f>
        <v>467999.51</v>
      </c>
      <c r="G12" s="82">
        <f>'Данные по МКД-6'!F11</f>
        <v>379842.58</v>
      </c>
      <c r="H12" s="82">
        <f>'Данные по МКД-6'!G11</f>
        <v>313854.12</v>
      </c>
      <c r="I12" s="82">
        <f>'Данные по МКД-6'!H11</f>
        <v>345922.52</v>
      </c>
      <c r="J12" s="82">
        <f>'Данные по МКД-6'!I11</f>
        <v>284730.33</v>
      </c>
      <c r="K12" s="82">
        <f>'Данные по МКД-6'!J11</f>
        <v>450526.46</v>
      </c>
      <c r="L12" s="82">
        <f>'Данные по МКД-6'!K11</f>
        <v>416938.58</v>
      </c>
      <c r="M12" s="82">
        <f>'Данные по МКД-6'!L11</f>
        <v>0</v>
      </c>
      <c r="N12" s="67">
        <f t="shared" si="0"/>
        <v>4468632.96</v>
      </c>
      <c r="O12" s="58"/>
    </row>
    <row r="13" spans="1:15" x14ac:dyDescent="0.25">
      <c r="A13" s="62">
        <v>10</v>
      </c>
      <c r="B13" s="81" t="s">
        <v>52</v>
      </c>
      <c r="C13" s="82">
        <f>'Данные по МКД-6'!B12</f>
        <v>120536.04000000001</v>
      </c>
      <c r="D13" s="82">
        <f>'Данные по МКД-6'!C12</f>
        <v>58282.080000000002</v>
      </c>
      <c r="E13" s="82">
        <f>'Данные по МКД-6'!D12</f>
        <v>390070.33</v>
      </c>
      <c r="F13" s="82">
        <f>'Данные по МКД-6'!E12</f>
        <v>167382.44999999998</v>
      </c>
      <c r="G13" s="82">
        <f>'Данные по МКД-6'!F12</f>
        <v>47863.64</v>
      </c>
      <c r="H13" s="82">
        <f>'Данные по МКД-6'!G12</f>
        <v>39346.92</v>
      </c>
      <c r="I13" s="82">
        <f>'Данные по МКД-6'!H12</f>
        <v>122451.74</v>
      </c>
      <c r="J13" s="82">
        <f>'Данные по МКД-6'!I12</f>
        <v>103022.64</v>
      </c>
      <c r="K13" s="82">
        <f>'Данные по МКД-6'!J12</f>
        <v>166641.72</v>
      </c>
      <c r="L13" s="82">
        <f>'Данные по МКД-6'!K12</f>
        <v>159541.91</v>
      </c>
      <c r="M13" s="82">
        <f>'Данные по МКД-6'!L12</f>
        <v>0</v>
      </c>
      <c r="N13" s="67">
        <f t="shared" si="0"/>
        <v>1375139.4699999997</v>
      </c>
      <c r="O13" s="58"/>
    </row>
    <row r="14" spans="1:15" x14ac:dyDescent="0.25">
      <c r="A14" s="62">
        <v>11</v>
      </c>
      <c r="B14" s="81" t="s">
        <v>53</v>
      </c>
      <c r="C14" s="82">
        <f>'Данные по МКД-6'!B13</f>
        <v>86422.2</v>
      </c>
      <c r="D14" s="82">
        <f>'Данные по МКД-6'!C13</f>
        <v>41784.720000000001</v>
      </c>
      <c r="E14" s="82">
        <f>'Данные по МКД-6'!D13</f>
        <v>0</v>
      </c>
      <c r="F14" s="82">
        <f>'Данные по МКД-6'!E13</f>
        <v>0</v>
      </c>
      <c r="G14" s="82">
        <f>'Данные по МКД-6'!F13</f>
        <v>0</v>
      </c>
      <c r="H14" s="82">
        <f>'Данные по МКД-6'!G13</f>
        <v>0</v>
      </c>
      <c r="I14" s="82">
        <f>'Данные по МКД-6'!H13</f>
        <v>0</v>
      </c>
      <c r="J14" s="82">
        <f>'Данные по МКД-6'!I13</f>
        <v>0</v>
      </c>
      <c r="K14" s="82">
        <f>'Данные по МКД-6'!J13</f>
        <v>0</v>
      </c>
      <c r="L14" s="82">
        <f>'Данные по МКД-6'!K13</f>
        <v>0</v>
      </c>
      <c r="M14" s="82">
        <f>'Данные по МКД-6'!L13</f>
        <v>0</v>
      </c>
      <c r="N14" s="67">
        <f t="shared" si="0"/>
        <v>128206.92</v>
      </c>
      <c r="O14" s="58"/>
    </row>
    <row r="15" spans="1:15" x14ac:dyDescent="0.25">
      <c r="A15" s="62">
        <v>12</v>
      </c>
      <c r="B15" s="81" t="s">
        <v>54</v>
      </c>
      <c r="C15" s="82">
        <f>'Данные по МКД-6'!B14</f>
        <v>0</v>
      </c>
      <c r="D15" s="82">
        <f>'Данные по МКД-6'!C14</f>
        <v>0</v>
      </c>
      <c r="E15" s="82">
        <f>'Данные по МКД-6'!D14</f>
        <v>0</v>
      </c>
      <c r="F15" s="82">
        <f>'Данные по МКД-6'!E14</f>
        <v>0</v>
      </c>
      <c r="G15" s="82">
        <f>'Данные по МКД-6'!F14</f>
        <v>0</v>
      </c>
      <c r="H15" s="82">
        <f>'Данные по МКД-6'!G14</f>
        <v>0</v>
      </c>
      <c r="I15" s="82">
        <f>'Данные по МКД-6'!H14</f>
        <v>0</v>
      </c>
      <c r="J15" s="82">
        <f>'Данные по МКД-6'!I14</f>
        <v>0</v>
      </c>
      <c r="K15" s="82">
        <f>'Данные по МКД-6'!J14</f>
        <v>0</v>
      </c>
      <c r="L15" s="82">
        <f>'Данные по МКД-6'!K14</f>
        <v>0</v>
      </c>
      <c r="M15" s="82">
        <f>'Данные по МКД-6'!L14</f>
        <v>0</v>
      </c>
      <c r="N15" s="67">
        <f t="shared" si="0"/>
        <v>0</v>
      </c>
      <c r="O15" s="58"/>
    </row>
    <row r="16" spans="1:15" ht="14.45" customHeight="1" x14ac:dyDescent="0.25">
      <c r="A16" s="62">
        <v>13</v>
      </c>
      <c r="B16" s="81" t="s">
        <v>55</v>
      </c>
      <c r="C16" s="82">
        <f>'Данные по МКД-6'!B15</f>
        <v>554914.55000000005</v>
      </c>
      <c r="D16" s="82">
        <f>'Данные по МКД-6'!C15</f>
        <v>290300.88</v>
      </c>
      <c r="E16" s="82">
        <f>'Данные по МКД-6'!D15</f>
        <v>1202886.1199999999</v>
      </c>
      <c r="F16" s="82">
        <f>'Данные по МКД-6'!E15</f>
        <v>434354.44</v>
      </c>
      <c r="G16" s="82">
        <f>'Данные по МКД-6'!F15</f>
        <v>364639.97</v>
      </c>
      <c r="H16" s="82">
        <f>'Данные по МКД-6'!G15</f>
        <v>300215.40000000002</v>
      </c>
      <c r="I16" s="82">
        <f>'Данные по МКД-6'!H15</f>
        <v>343889.5</v>
      </c>
      <c r="J16" s="82">
        <f>'Данные по МКД-6'!I15</f>
        <v>281751.95999999996</v>
      </c>
      <c r="K16" s="82">
        <f>'Данные по МКД-6'!J15</f>
        <v>435066.96</v>
      </c>
      <c r="L16" s="82">
        <f>'Данные по МКД-6'!K15</f>
        <v>414009.01</v>
      </c>
      <c r="M16" s="82">
        <f>'Данные по МКД-6'!L15</f>
        <v>83276.12999999999</v>
      </c>
      <c r="N16" s="67">
        <f t="shared" si="0"/>
        <v>4705304.92</v>
      </c>
      <c r="O16" s="58"/>
    </row>
    <row r="17" spans="1:15" x14ac:dyDescent="0.25">
      <c r="A17" s="84">
        <v>14</v>
      </c>
      <c r="B17" s="85" t="s">
        <v>56</v>
      </c>
      <c r="C17" s="86">
        <v>883826.58</v>
      </c>
      <c r="D17" s="86">
        <v>383890.84</v>
      </c>
      <c r="E17" s="86">
        <v>1580264.62</v>
      </c>
      <c r="F17" s="86">
        <v>325192.96999999997</v>
      </c>
      <c r="G17" s="86">
        <v>896126.67</v>
      </c>
      <c r="H17" s="86">
        <v>276915.45</v>
      </c>
      <c r="I17" s="86">
        <v>451605.28</v>
      </c>
      <c r="J17" s="86">
        <v>592478.55000000005</v>
      </c>
      <c r="K17" s="86">
        <v>829170.24</v>
      </c>
      <c r="L17" s="86">
        <v>396181.16</v>
      </c>
      <c r="M17" s="86">
        <v>18342.86</v>
      </c>
      <c r="N17" s="67">
        <f t="shared" si="0"/>
        <v>6633995.2200000007</v>
      </c>
      <c r="O17" s="87"/>
    </row>
    <row r="18" spans="1:15" x14ac:dyDescent="0.25">
      <c r="A18" s="62">
        <v>15</v>
      </c>
      <c r="B18" s="81" t="s">
        <v>57</v>
      </c>
      <c r="C18" s="82">
        <f>'Данные по МКД-6'!B17</f>
        <v>336588.6</v>
      </c>
      <c r="D18" s="82">
        <f>'Данные по МКД-6'!C17</f>
        <v>162742.92000000001</v>
      </c>
      <c r="E18" s="82">
        <f>'Данные по МКД-6'!D17</f>
        <v>296206.68</v>
      </c>
      <c r="F18" s="82">
        <f>'Данные по МКД-6'!E17</f>
        <v>124496.17000000001</v>
      </c>
      <c r="G18" s="82">
        <f>'Данные по МКД-6'!F17</f>
        <v>104514.75</v>
      </c>
      <c r="H18" s="82">
        <f>'Данные по МКД-6'!G17</f>
        <v>83255.760000000009</v>
      </c>
      <c r="I18" s="82">
        <f>'Данные по МКД-6'!H17</f>
        <v>1830.6</v>
      </c>
      <c r="J18" s="82">
        <f>'Данные по МКД-6'!I17</f>
        <v>1009.32</v>
      </c>
      <c r="K18" s="82">
        <f>'Данные по МКД-6'!J17</f>
        <v>756</v>
      </c>
      <c r="L18" s="82">
        <f>'Данные по МКД-6'!K17</f>
        <v>0</v>
      </c>
      <c r="M18" s="82">
        <f>'Данные по МКД-6'!L17</f>
        <v>119582.61</v>
      </c>
      <c r="N18" s="67">
        <f t="shared" si="0"/>
        <v>1230983.4100000001</v>
      </c>
      <c r="O18" s="58"/>
    </row>
    <row r="19" spans="1:15" x14ac:dyDescent="0.25">
      <c r="A19" s="62">
        <v>16</v>
      </c>
      <c r="B19" s="81" t="s">
        <v>58</v>
      </c>
      <c r="C19" s="82">
        <f>'Данные по МКД-6'!B18</f>
        <v>0</v>
      </c>
      <c r="D19" s="82">
        <f>'Данные по МКД-6'!C18</f>
        <v>0</v>
      </c>
      <c r="E19" s="82">
        <f>'Данные по МКД-6'!D18</f>
        <v>0</v>
      </c>
      <c r="F19" s="82">
        <f>'Данные по МКД-6'!E18</f>
        <v>0</v>
      </c>
      <c r="G19" s="82">
        <f>'Данные по МКД-6'!F18</f>
        <v>0</v>
      </c>
      <c r="H19" s="82">
        <f>'Данные по МКД-6'!G18</f>
        <v>0</v>
      </c>
      <c r="I19" s="82">
        <f>'Данные по МКД-6'!H18</f>
        <v>0</v>
      </c>
      <c r="J19" s="82">
        <f>'Данные по МКД-6'!I18</f>
        <v>0</v>
      </c>
      <c r="K19" s="82">
        <f>'Данные по МКД-6'!J18</f>
        <v>0</v>
      </c>
      <c r="L19" s="82">
        <f>'Данные по МКД-6'!K18</f>
        <v>0</v>
      </c>
      <c r="M19" s="82">
        <f>'Данные по МКД-6'!L18</f>
        <v>0</v>
      </c>
      <c r="N19" s="67">
        <f t="shared" si="0"/>
        <v>0</v>
      </c>
      <c r="O19" s="58"/>
    </row>
    <row r="20" spans="1:15" x14ac:dyDescent="0.25">
      <c r="A20" s="62">
        <v>17</v>
      </c>
      <c r="B20" s="81" t="s">
        <v>59</v>
      </c>
      <c r="C20" s="82">
        <f>'Данные по МКД-6'!B19</f>
        <v>0</v>
      </c>
      <c r="D20" s="82">
        <f>'Данные по МКД-6'!C19</f>
        <v>0</v>
      </c>
      <c r="E20" s="82">
        <f>'Данные по МКД-6'!D19</f>
        <v>0</v>
      </c>
      <c r="F20" s="82">
        <f>'Данные по МКД-6'!E19</f>
        <v>0</v>
      </c>
      <c r="G20" s="82">
        <f>'Данные по МКД-6'!F19</f>
        <v>0</v>
      </c>
      <c r="H20" s="82">
        <f>'Данные по МКД-6'!G19</f>
        <v>0</v>
      </c>
      <c r="I20" s="82">
        <f>'Данные по МКД-6'!H19</f>
        <v>0</v>
      </c>
      <c r="J20" s="82">
        <f>'Данные по МКД-6'!I19</f>
        <v>0</v>
      </c>
      <c r="K20" s="82">
        <f>'Данные по МКД-6'!J19</f>
        <v>0</v>
      </c>
      <c r="L20" s="82">
        <f>'Данные по МКД-6'!K19</f>
        <v>0</v>
      </c>
      <c r="M20" s="82">
        <f>'Данные по МКД-6'!L19</f>
        <v>0</v>
      </c>
      <c r="N20" s="67">
        <f t="shared" si="0"/>
        <v>0</v>
      </c>
      <c r="O20" s="58"/>
    </row>
    <row r="21" spans="1:15" x14ac:dyDescent="0.25">
      <c r="C21" s="88">
        <f t="shared" ref="C21:M21" si="1">SUM(C4:C20)</f>
        <v>8887497.0999999996</v>
      </c>
      <c r="D21" s="88">
        <f t="shared" si="1"/>
        <v>4356578.75</v>
      </c>
      <c r="E21" s="88">
        <f t="shared" si="1"/>
        <v>12931187.039999999</v>
      </c>
      <c r="F21" s="88">
        <f t="shared" si="1"/>
        <v>4859732.6000000006</v>
      </c>
      <c r="G21" s="88">
        <f t="shared" si="1"/>
        <v>4119667.1100000003</v>
      </c>
      <c r="H21" s="88">
        <f t="shared" si="1"/>
        <v>2687815.1800000006</v>
      </c>
      <c r="I21" s="88">
        <f t="shared" si="1"/>
        <v>3721676.22</v>
      </c>
      <c r="J21" s="88">
        <f t="shared" si="1"/>
        <v>3386683.0000000005</v>
      </c>
      <c r="K21" s="88">
        <f t="shared" si="1"/>
        <v>4838102.41</v>
      </c>
      <c r="L21" s="88">
        <f t="shared" si="1"/>
        <v>4272223.25</v>
      </c>
      <c r="M21" s="89">
        <f t="shared" si="1"/>
        <v>892321.51</v>
      </c>
      <c r="N21" s="67">
        <f t="shared" si="0"/>
        <v>54953484.169999994</v>
      </c>
    </row>
    <row r="22" spans="1:15" x14ac:dyDescent="0.25">
      <c r="C22" s="57">
        <f>'Данные по МКД-6'!B20-'Данные по МКД-6'!B16+C17-C21</f>
        <v>0</v>
      </c>
      <c r="D22" s="57">
        <f>'Данные по МКД-6'!C20-'Данные по МКД-6'!C16+D17-D21</f>
        <v>0</v>
      </c>
      <c r="E22" s="57">
        <f>'Данные по МКД-6'!D20-'Данные по МКД-6'!D16+E17-E21</f>
        <v>0</v>
      </c>
      <c r="F22" s="57">
        <f>'Данные по МКД-6'!E20-'Данные по МКД-6'!E16+F17-F21</f>
        <v>0</v>
      </c>
      <c r="G22" s="57">
        <f>'Данные по МКД-6'!F20-'Данные по МКД-6'!F16+G17-G21</f>
        <v>0</v>
      </c>
      <c r="H22" s="57">
        <f>'Данные по МКД-6'!G20-'Данные по МКД-6'!G16+H17-H21</f>
        <v>0</v>
      </c>
      <c r="I22" s="57">
        <f>'Данные по МКД-6'!H20-'Данные по МКД-6'!H16+I17-I21</f>
        <v>0</v>
      </c>
      <c r="J22" s="57">
        <f>'Данные по МКД-6'!I20-'Данные по МКД-6'!I16+J17-J21</f>
        <v>0</v>
      </c>
      <c r="K22" s="57">
        <f>'Данные по МКД-6'!J20-'Данные по МКД-6'!J16+K17-K21</f>
        <v>0</v>
      </c>
      <c r="L22" s="57">
        <f>'Данные по МКД-6'!K20-'Данные по МКД-6'!K16+L17-L21</f>
        <v>0</v>
      </c>
      <c r="M22" s="57">
        <f>'Данные по МКД-6'!L20-'Данные по МКД-6'!L16+M17-M21</f>
        <v>0</v>
      </c>
    </row>
    <row r="24" spans="1:15" x14ac:dyDescent="0.25">
      <c r="C24" s="1">
        <v>22625246.039999999</v>
      </c>
      <c r="D24" s="1">
        <v>11111684.859999999</v>
      </c>
      <c r="E24" s="1">
        <v>26600222.809999999</v>
      </c>
      <c r="F24" s="1">
        <v>11229468.449999999</v>
      </c>
      <c r="G24" s="1">
        <v>9444849.4199999999</v>
      </c>
      <c r="H24" s="1">
        <v>6612229.1600000001</v>
      </c>
      <c r="I24" s="1">
        <v>8402897.7899999991</v>
      </c>
      <c r="J24" s="1">
        <v>6917593.5800000001</v>
      </c>
      <c r="K24" s="1">
        <v>11309236.949999999</v>
      </c>
      <c r="L24" s="1">
        <v>10983309.85</v>
      </c>
      <c r="M24" s="1">
        <v>1527118.59</v>
      </c>
    </row>
    <row r="25" spans="1:15" x14ac:dyDescent="0.25">
      <c r="C25" s="1">
        <v>0.62</v>
      </c>
      <c r="D25" s="1">
        <v>0.61</v>
      </c>
      <c r="E25" s="1">
        <v>0.55000000000000004</v>
      </c>
      <c r="F25" s="1">
        <v>0.56000000000000005</v>
      </c>
      <c r="G25" s="1">
        <v>0.60000000000000009</v>
      </c>
      <c r="H25" s="1">
        <v>0.61</v>
      </c>
      <c r="I25" s="1">
        <v>0.59</v>
      </c>
      <c r="J25" s="1">
        <v>0.57999999999999996</v>
      </c>
      <c r="K25" s="1">
        <v>0.62</v>
      </c>
      <c r="L25" s="1">
        <v>0.62</v>
      </c>
      <c r="M25" s="1">
        <v>0.57000000000000006</v>
      </c>
    </row>
    <row r="26" spans="1:15" x14ac:dyDescent="0.25">
      <c r="C26" s="1">
        <f t="shared" ref="C26:M26" si="2">1-C25</f>
        <v>0.38</v>
      </c>
      <c r="D26" s="1">
        <f t="shared" si="2"/>
        <v>0.39</v>
      </c>
      <c r="E26">
        <f t="shared" si="2"/>
        <v>0.44999999999999996</v>
      </c>
      <c r="F26">
        <f t="shared" si="2"/>
        <v>0.43999999999999995</v>
      </c>
      <c r="G26">
        <f t="shared" si="2"/>
        <v>0.39999999999999991</v>
      </c>
      <c r="H26">
        <f t="shared" si="2"/>
        <v>0.39</v>
      </c>
      <c r="I26">
        <f t="shared" si="2"/>
        <v>0.41000000000000003</v>
      </c>
      <c r="J26">
        <f t="shared" si="2"/>
        <v>0.42000000000000004</v>
      </c>
      <c r="K26">
        <f t="shared" si="2"/>
        <v>0.38</v>
      </c>
      <c r="L26">
        <f t="shared" si="2"/>
        <v>0.38</v>
      </c>
      <c r="M26">
        <f t="shared" si="2"/>
        <v>0.42999999999999994</v>
      </c>
    </row>
    <row r="28" spans="1:15" x14ac:dyDescent="0.25">
      <c r="C28" s="1">
        <v>95883.58</v>
      </c>
      <c r="D28" s="1">
        <v>33001.96</v>
      </c>
      <c r="E28" s="1">
        <v>389379.52</v>
      </c>
      <c r="F28" s="1">
        <v>58863.11</v>
      </c>
      <c r="G28" s="1">
        <v>105431.06</v>
      </c>
      <c r="H28" s="1">
        <v>35170.49</v>
      </c>
      <c r="I28" s="1">
        <v>127453.42</v>
      </c>
      <c r="J28" s="1">
        <v>56683.78</v>
      </c>
      <c r="K28" s="1">
        <v>145534.79</v>
      </c>
      <c r="L28" s="1">
        <v>140780.16</v>
      </c>
      <c r="M28" s="1">
        <v>9855.69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85" zoomScaleNormal="85" workbookViewId="0">
      <pane xSplit="2" ySplit="2" topLeftCell="E15" activePane="bottomRight" state="frozen"/>
      <selection pane="topRight" activeCell="C1" sqref="C1"/>
      <selection pane="bottomLeft" activeCell="A15" sqref="A15"/>
      <selection pane="bottomRight" activeCell="F29" sqref="F29"/>
    </sheetView>
  </sheetViews>
  <sheetFormatPr defaultColWidth="20" defaultRowHeight="15" x14ac:dyDescent="0.25"/>
  <cols>
    <col min="1" max="1" width="3.42578125" style="1" customWidth="1"/>
    <col min="2" max="2" width="96.42578125" style="1" customWidth="1"/>
    <col min="3" max="3" width="20.28515625" style="1" customWidth="1"/>
    <col min="4" max="7" width="20" style="1"/>
    <col min="8" max="8" width="17.42578125" style="1" customWidth="1"/>
    <col min="9" max="11" width="16.5703125" style="1" customWidth="1"/>
    <col min="12" max="13" width="15.5703125" style="1" customWidth="1"/>
    <col min="14" max="14" width="17.7109375" style="1" customWidth="1"/>
    <col min="15" max="38" width="9" style="1" customWidth="1"/>
    <col min="39" max="16384" width="20" style="1"/>
  </cols>
  <sheetData>
    <row r="1" spans="1:14" ht="15.75" thickBot="1" x14ac:dyDescent="0.3">
      <c r="B1" s="4" t="s">
        <v>62</v>
      </c>
      <c r="C1" s="113"/>
      <c r="D1" s="113"/>
      <c r="E1" s="113"/>
      <c r="F1" s="113"/>
      <c r="G1" s="113"/>
    </row>
    <row r="2" spans="1:14" ht="60.75" thickBot="1" x14ac:dyDescent="0.3">
      <c r="B2" s="4" t="s">
        <v>63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8" t="s">
        <v>87</v>
      </c>
      <c r="N2" s="90" t="s">
        <v>11</v>
      </c>
    </row>
    <row r="3" spans="1:14" ht="14.45" customHeight="1" x14ac:dyDescent="0.25">
      <c r="A3" s="62">
        <v>1</v>
      </c>
      <c r="B3" s="91" t="s">
        <v>64</v>
      </c>
      <c r="C3" s="92">
        <v>12114.19</v>
      </c>
      <c r="D3" s="92">
        <v>5527.11</v>
      </c>
      <c r="E3" s="92">
        <v>89918.34</v>
      </c>
      <c r="F3" s="92">
        <v>11432.41</v>
      </c>
      <c r="G3" s="93">
        <v>33740.870000000003</v>
      </c>
      <c r="H3" s="62">
        <v>20102.84</v>
      </c>
      <c r="I3" s="92">
        <v>55332.21</v>
      </c>
      <c r="J3" s="92">
        <v>13634.59</v>
      </c>
      <c r="K3" s="92">
        <v>81566.559999999998</v>
      </c>
      <c r="L3" s="92">
        <v>53437.26</v>
      </c>
      <c r="M3" s="92"/>
      <c r="N3" s="94"/>
    </row>
    <row r="4" spans="1:14" ht="27.75" customHeight="1" x14ac:dyDescent="0.25">
      <c r="A4" s="62">
        <v>2</v>
      </c>
      <c r="B4" s="91" t="s">
        <v>65</v>
      </c>
      <c r="C4" s="92"/>
      <c r="D4" s="92"/>
      <c r="E4" s="92"/>
      <c r="F4" s="92"/>
      <c r="G4" s="93"/>
      <c r="H4" s="62"/>
      <c r="I4" s="62"/>
      <c r="J4" s="62"/>
      <c r="K4" s="62"/>
      <c r="L4" s="62"/>
      <c r="M4" s="92"/>
      <c r="N4" s="94"/>
    </row>
    <row r="5" spans="1:14" ht="30" customHeight="1" x14ac:dyDescent="0.25">
      <c r="A5" s="62">
        <v>3</v>
      </c>
      <c r="B5" s="91" t="s">
        <v>66</v>
      </c>
      <c r="C5" s="92">
        <v>1808406.8099999991</v>
      </c>
      <c r="D5" s="92">
        <v>950091.61</v>
      </c>
      <c r="E5" s="92">
        <v>5553442.4000000004</v>
      </c>
      <c r="F5" s="92">
        <v>1282191.9199999997</v>
      </c>
      <c r="G5" s="92">
        <v>816163.27999999968</v>
      </c>
      <c r="H5" s="92">
        <v>314317.91000000032</v>
      </c>
      <c r="I5" s="92">
        <v>427813.01700000005</v>
      </c>
      <c r="J5" s="92">
        <v>640985.43999999959</v>
      </c>
      <c r="K5" s="92">
        <v>647708.46000000043</v>
      </c>
      <c r="L5" s="92">
        <v>460591.46000000066</v>
      </c>
      <c r="M5" s="95"/>
      <c r="N5" s="94"/>
    </row>
    <row r="6" spans="1:14" ht="14.45" customHeight="1" x14ac:dyDescent="0.25">
      <c r="A6" s="62">
        <v>4</v>
      </c>
      <c r="B6" s="96" t="s">
        <v>67</v>
      </c>
      <c r="C6" s="97">
        <f t="shared" ref="C6:N6" si="0">SUM(C7:C23)</f>
        <v>8504003.3200000003</v>
      </c>
      <c r="D6" s="97">
        <f t="shared" si="0"/>
        <v>4231106.2300000004</v>
      </c>
      <c r="E6" s="97">
        <f t="shared" si="0"/>
        <v>12657239.41</v>
      </c>
      <c r="F6" s="97">
        <f t="shared" si="0"/>
        <v>5006246.8400000008</v>
      </c>
      <c r="G6" s="97">
        <f t="shared" si="0"/>
        <v>3619535.1800000006</v>
      </c>
      <c r="H6" s="97">
        <f t="shared" si="0"/>
        <v>2736931.5700000003</v>
      </c>
      <c r="I6" s="97">
        <f t="shared" si="0"/>
        <v>3643533.0400000005</v>
      </c>
      <c r="J6" s="97">
        <f t="shared" si="0"/>
        <v>3100184.0500000003</v>
      </c>
      <c r="K6" s="97">
        <f t="shared" si="0"/>
        <v>4481415.25</v>
      </c>
      <c r="L6" s="97">
        <f t="shared" si="0"/>
        <v>4325654</v>
      </c>
      <c r="M6" s="97">
        <f t="shared" si="0"/>
        <v>990768.05</v>
      </c>
      <c r="N6" s="97">
        <f t="shared" si="0"/>
        <v>53296616.939999998</v>
      </c>
    </row>
    <row r="7" spans="1:14" ht="23.25" customHeight="1" x14ac:dyDescent="0.25">
      <c r="A7" s="62"/>
      <c r="B7" s="98" t="s">
        <v>43</v>
      </c>
      <c r="C7" s="95">
        <f>'Данные по МКД-6'!B3</f>
        <v>1151018.21</v>
      </c>
      <c r="D7" s="95">
        <f>'Данные по МКД-6'!C3</f>
        <v>503770.27</v>
      </c>
      <c r="E7" s="95">
        <f>'Данные по МКД-6'!D3</f>
        <v>1236520.72</v>
      </c>
      <c r="F7" s="95">
        <f>'Данные по МКД-6'!E3</f>
        <v>621681.01</v>
      </c>
      <c r="G7" s="95">
        <f>'Данные по МКД-6'!F3</f>
        <v>416134.6</v>
      </c>
      <c r="H7" s="95">
        <f>'Данные по МКД-6'!G3</f>
        <v>282141.96000000002</v>
      </c>
      <c r="I7" s="95">
        <f>'Данные по МКД-6'!H3</f>
        <v>354449.83</v>
      </c>
      <c r="J7" s="95">
        <f>'Данные по МКД-6'!I3</f>
        <v>448976.64000000001</v>
      </c>
      <c r="K7" s="95">
        <f>'Данные по МКД-6'!J3</f>
        <v>488773.75</v>
      </c>
      <c r="L7" s="95">
        <f>'Данные по МКД-6'!K3</f>
        <v>437408.82</v>
      </c>
      <c r="M7" s="95">
        <f>'Данные по МКД-6'!L3</f>
        <v>106633.8</v>
      </c>
      <c r="N7" s="99">
        <f t="shared" ref="N7:N25" si="1">SUM(C7:M7)</f>
        <v>6047509.6100000003</v>
      </c>
    </row>
    <row r="8" spans="1:14" ht="28.5" customHeight="1" x14ac:dyDescent="0.25">
      <c r="A8" s="62"/>
      <c r="B8" s="98" t="s">
        <v>44</v>
      </c>
      <c r="C8" s="95">
        <f>'Данные по МКД-6'!B4</f>
        <v>3182001.71</v>
      </c>
      <c r="D8" s="95">
        <f>'Данные по МКД-6'!C4</f>
        <v>1641792.12</v>
      </c>
      <c r="E8" s="95">
        <f>'Данные по МКД-6'!D4</f>
        <v>5440787.5300000003</v>
      </c>
      <c r="F8" s="95">
        <f>'Данные по МКД-6'!E4</f>
        <v>2090604.51</v>
      </c>
      <c r="G8" s="95">
        <f>'Данные по МКД-6'!F4</f>
        <v>1424477.3900000001</v>
      </c>
      <c r="H8" s="95">
        <f>'Данные по МКД-6'!G4</f>
        <v>996372.13000000012</v>
      </c>
      <c r="I8" s="95">
        <f>'Данные по МКД-6'!H4</f>
        <v>1309004.9900000002</v>
      </c>
      <c r="J8" s="95">
        <f>'Данные по МКД-6'!I4</f>
        <v>1023233.9199999999</v>
      </c>
      <c r="K8" s="95">
        <f>'Данные по МКД-6'!J4</f>
        <v>1454109.6400000001</v>
      </c>
      <c r="L8" s="95">
        <f>'Данные по МКД-6'!K4</f>
        <v>1484315.38</v>
      </c>
      <c r="M8" s="95">
        <f>'Данные по МКД-6'!L4</f>
        <v>313640.27</v>
      </c>
      <c r="N8" s="99">
        <f t="shared" si="1"/>
        <v>20360339.59</v>
      </c>
    </row>
    <row r="9" spans="1:14" x14ac:dyDescent="0.25">
      <c r="A9" s="62"/>
      <c r="B9" s="98" t="s">
        <v>45</v>
      </c>
      <c r="C9" s="95">
        <f>'Данные по МКД-6'!B5</f>
        <v>848292.84000000008</v>
      </c>
      <c r="D9" s="95">
        <f>'Данные по МКД-6'!C5</f>
        <v>410160.48</v>
      </c>
      <c r="E9" s="95">
        <f>'Данные по МКД-6'!D5</f>
        <v>0</v>
      </c>
      <c r="F9" s="95">
        <f>'Данные по МКД-6'!E5</f>
        <v>0</v>
      </c>
      <c r="G9" s="95">
        <f>'Данные по МКД-6'!F5</f>
        <v>321673.76</v>
      </c>
      <c r="H9" s="95">
        <f>'Данные по МКД-6'!G5</f>
        <v>264840.48</v>
      </c>
      <c r="I9" s="95">
        <f>'Данные по МКД-6'!H5</f>
        <v>303370.71999999997</v>
      </c>
      <c r="J9" s="95">
        <f>'Данные по МКД-6'!I5</f>
        <v>248553.24</v>
      </c>
      <c r="K9" s="95">
        <f>'Данные по МКД-6'!J5</f>
        <v>383804.28</v>
      </c>
      <c r="L9" s="95">
        <f>'Данные по МКД-6'!K5</f>
        <v>365226.13999999996</v>
      </c>
      <c r="M9" s="95">
        <f>'Данные по МКД-6'!L5</f>
        <v>133294.56</v>
      </c>
      <c r="N9" s="99">
        <f t="shared" si="1"/>
        <v>3279216.5000000009</v>
      </c>
    </row>
    <row r="10" spans="1:14" ht="28.5" x14ac:dyDescent="0.25">
      <c r="A10" s="62"/>
      <c r="B10" s="98" t="s">
        <v>46</v>
      </c>
      <c r="C10" s="95">
        <f>'Данные по МКД-6'!B6</f>
        <v>0</v>
      </c>
      <c r="D10" s="95">
        <f>'Данные по МКД-6'!C6</f>
        <v>0</v>
      </c>
      <c r="E10" s="95">
        <f>'Данные по МКД-6'!D6</f>
        <v>0</v>
      </c>
      <c r="F10" s="95">
        <f>'Данные по МКД-6'!E6</f>
        <v>0</v>
      </c>
      <c r="G10" s="95">
        <f>'Данные по МКД-6'!F6</f>
        <v>0</v>
      </c>
      <c r="H10" s="95">
        <f>'Данные по МКД-6'!G6</f>
        <v>0</v>
      </c>
      <c r="I10" s="95">
        <f>'Данные по МКД-6'!H6</f>
        <v>0</v>
      </c>
      <c r="J10" s="95">
        <f>'Данные по МКД-6'!I6</f>
        <v>0</v>
      </c>
      <c r="K10" s="95">
        <f>'Данные по МКД-6'!J6</f>
        <v>0</v>
      </c>
      <c r="L10" s="95">
        <f>'Данные по МКД-6'!K6</f>
        <v>0</v>
      </c>
      <c r="M10" s="95">
        <f>'Данные по МКД-6'!L6</f>
        <v>0</v>
      </c>
      <c r="N10" s="99">
        <f t="shared" si="1"/>
        <v>0</v>
      </c>
    </row>
    <row r="11" spans="1:14" ht="28.5" x14ac:dyDescent="0.25">
      <c r="A11" s="62"/>
      <c r="B11" s="98" t="s">
        <v>47</v>
      </c>
      <c r="C11" s="95">
        <f>'Данные по МКД-6'!B7</f>
        <v>910066.99</v>
      </c>
      <c r="D11" s="95">
        <f>'Данные по МКД-6'!C7</f>
        <v>141853.68</v>
      </c>
      <c r="E11" s="95">
        <f>'Данные по МКД-6'!D7</f>
        <v>1367612.41</v>
      </c>
      <c r="F11" s="95">
        <f>'Данные по МКД-6'!E7</f>
        <v>493839.05</v>
      </c>
      <c r="G11" s="95">
        <f>'Данные по МКД-6'!F7</f>
        <v>17200.32</v>
      </c>
      <c r="H11" s="95">
        <f>'Данные по МКД-6'!G7</f>
        <v>14664.12</v>
      </c>
      <c r="I11" s="95">
        <f>'Данные по МКД-6'!H7</f>
        <v>390986.08</v>
      </c>
      <c r="J11" s="95">
        <f>'Данные по МКД-6'!I7</f>
        <v>320337.24</v>
      </c>
      <c r="K11" s="95">
        <f>'Данные по МКД-6'!J7</f>
        <v>494649.72</v>
      </c>
      <c r="L11" s="95">
        <f>'Данные по МКД-6'!K7</f>
        <v>470706.12</v>
      </c>
      <c r="M11" s="95">
        <f>'Данные по МКД-6'!L7</f>
        <v>0</v>
      </c>
      <c r="N11" s="99">
        <f t="shared" si="1"/>
        <v>4621915.7299999995</v>
      </c>
    </row>
    <row r="12" spans="1:14" ht="28.5" x14ac:dyDescent="0.25">
      <c r="A12" s="62"/>
      <c r="B12" s="98" t="s">
        <v>48</v>
      </c>
      <c r="C12" s="95">
        <f>'Данные по МКД-6'!B8</f>
        <v>0</v>
      </c>
      <c r="D12" s="95">
        <f>'Данные по МКД-6'!C8</f>
        <v>0</v>
      </c>
      <c r="E12" s="95">
        <f>'Данные по МКД-6'!D8</f>
        <v>0</v>
      </c>
      <c r="F12" s="95">
        <f>'Данные по МКД-6'!E8</f>
        <v>0</v>
      </c>
      <c r="G12" s="95">
        <f>'Данные по МКД-6'!F8</f>
        <v>0</v>
      </c>
      <c r="H12" s="95">
        <f>'Данные по МКД-6'!G8</f>
        <v>0</v>
      </c>
      <c r="I12" s="95">
        <f>'Данные по МКД-6'!H8</f>
        <v>0</v>
      </c>
      <c r="J12" s="95">
        <f>'Данные по МКД-6'!I8</f>
        <v>0</v>
      </c>
      <c r="K12" s="95">
        <f>'Данные по МКД-6'!J8</f>
        <v>0</v>
      </c>
      <c r="L12" s="95">
        <f>'Данные по МКД-6'!K8</f>
        <v>0</v>
      </c>
      <c r="M12" s="95">
        <f>'Данные по МКД-6'!L8</f>
        <v>0</v>
      </c>
      <c r="N12" s="99">
        <f t="shared" si="1"/>
        <v>0</v>
      </c>
    </row>
    <row r="13" spans="1:14" ht="28.5" x14ac:dyDescent="0.25">
      <c r="A13" s="62"/>
      <c r="B13" s="98" t="s">
        <v>49</v>
      </c>
      <c r="C13" s="95">
        <f>'Данные по МКД-6'!B9</f>
        <v>352157.34000000008</v>
      </c>
      <c r="D13" s="95">
        <f>'Данные по МКД-6'!C9</f>
        <v>478989.84</v>
      </c>
      <c r="E13" s="95">
        <f>'Данные по МКД-6'!D9</f>
        <v>312702.73000000004</v>
      </c>
      <c r="F13" s="95">
        <f>'Данные по МКД-6'!E9</f>
        <v>134182.49000000002</v>
      </c>
      <c r="G13" s="95">
        <f>'Данные по МКД-6'!F9</f>
        <v>147193.43</v>
      </c>
      <c r="H13" s="95">
        <f>'Данные по МКД-6'!G9</f>
        <v>116208.84</v>
      </c>
      <c r="I13" s="95">
        <f>'Данные по МКД-6'!H9</f>
        <v>98164.96</v>
      </c>
      <c r="J13" s="95">
        <f>'Данные по МКД-6'!I9</f>
        <v>82589.16</v>
      </c>
      <c r="K13" s="95">
        <f>'Данные по МКД-6'!J9</f>
        <v>134603.63999999998</v>
      </c>
      <c r="L13" s="95">
        <f>'Данные по МКД-6'!K9</f>
        <v>127896.12999999999</v>
      </c>
      <c r="M13" s="95">
        <f>'Данные по МКД-6'!L9</f>
        <v>117551.28</v>
      </c>
      <c r="N13" s="99">
        <f t="shared" si="1"/>
        <v>2102239.84</v>
      </c>
    </row>
    <row r="14" spans="1:14" x14ac:dyDescent="0.25">
      <c r="A14" s="62"/>
      <c r="B14" s="98" t="s">
        <v>50</v>
      </c>
      <c r="C14" s="95">
        <f>'Данные по МКД-6'!B10</f>
        <v>0</v>
      </c>
      <c r="D14" s="95">
        <f>'Данные по МКД-6'!C10</f>
        <v>0</v>
      </c>
      <c r="E14" s="95">
        <f>'Данные по МКД-6'!D10</f>
        <v>0</v>
      </c>
      <c r="F14" s="95">
        <f>'Данные по МКД-6'!E10</f>
        <v>0</v>
      </c>
      <c r="G14" s="95">
        <f>'Данные по МКД-6'!F10</f>
        <v>0</v>
      </c>
      <c r="H14" s="95">
        <f>'Данные по МКД-6'!G10</f>
        <v>0</v>
      </c>
      <c r="I14" s="95">
        <f>'Данные по МКД-6'!H10</f>
        <v>0</v>
      </c>
      <c r="J14" s="95">
        <f>'Данные по МКД-6'!I10</f>
        <v>0</v>
      </c>
      <c r="K14" s="95">
        <f>'Данные по МКД-6'!J10</f>
        <v>0</v>
      </c>
      <c r="L14" s="95">
        <f>'Данные по МКД-6'!K10</f>
        <v>0</v>
      </c>
      <c r="M14" s="95">
        <f>'Данные по МКД-6'!L10</f>
        <v>0</v>
      </c>
      <c r="N14" s="99">
        <f t="shared" si="1"/>
        <v>0</v>
      </c>
    </row>
    <row r="15" spans="1:14" x14ac:dyDescent="0.25">
      <c r="A15" s="62"/>
      <c r="B15" s="98" t="s">
        <v>51</v>
      </c>
      <c r="C15" s="95">
        <f>'Данные по МКД-6'!B11</f>
        <v>461672.04</v>
      </c>
      <c r="D15" s="95">
        <f>'Данные по МКД-6'!C11</f>
        <v>243010.91999999998</v>
      </c>
      <c r="E15" s="95">
        <f>'Данные по МКД-6'!D11</f>
        <v>1104135.9000000001</v>
      </c>
      <c r="F15" s="95">
        <f>'Данные по МКД-6'!E11</f>
        <v>467999.51</v>
      </c>
      <c r="G15" s="95">
        <f>'Данные по МКД-6'!F11</f>
        <v>379842.58</v>
      </c>
      <c r="H15" s="95">
        <f>'Данные по МКД-6'!G11</f>
        <v>313854.12</v>
      </c>
      <c r="I15" s="95">
        <f>'Данные по МКД-6'!H11</f>
        <v>345922.52</v>
      </c>
      <c r="J15" s="95">
        <f>'Данные по МКД-6'!I11</f>
        <v>284730.33</v>
      </c>
      <c r="K15" s="95">
        <f>'Данные по МКД-6'!J11</f>
        <v>450526.46</v>
      </c>
      <c r="L15" s="95">
        <f>'Данные по МКД-6'!K11</f>
        <v>416938.58</v>
      </c>
      <c r="M15" s="95">
        <f>'Данные по МКД-6'!L11</f>
        <v>0</v>
      </c>
      <c r="N15" s="99">
        <f t="shared" si="1"/>
        <v>4468632.96</v>
      </c>
    </row>
    <row r="16" spans="1:14" x14ac:dyDescent="0.25">
      <c r="A16" s="62"/>
      <c r="B16" s="98" t="s">
        <v>52</v>
      </c>
      <c r="C16" s="95">
        <f>'Данные по МКД-6'!B12</f>
        <v>120536.04000000001</v>
      </c>
      <c r="D16" s="95">
        <f>'Данные по МКД-6'!C12</f>
        <v>58282.080000000002</v>
      </c>
      <c r="E16" s="95">
        <f>'Данные по МКД-6'!D12</f>
        <v>390070.33</v>
      </c>
      <c r="F16" s="95">
        <f>'Данные по МКД-6'!E12</f>
        <v>167382.44999999998</v>
      </c>
      <c r="G16" s="95">
        <f>'Данные по МКД-6'!F12</f>
        <v>47863.64</v>
      </c>
      <c r="H16" s="95">
        <f>'Данные по МКД-6'!G12</f>
        <v>39346.92</v>
      </c>
      <c r="I16" s="95">
        <f>'Данные по МКД-6'!H12</f>
        <v>122451.74</v>
      </c>
      <c r="J16" s="95">
        <f>'Данные по МКД-6'!I12</f>
        <v>103022.64</v>
      </c>
      <c r="K16" s="95">
        <f>'Данные по МКД-6'!J12</f>
        <v>166641.72</v>
      </c>
      <c r="L16" s="95">
        <f>'Данные по МКД-6'!K12</f>
        <v>159541.91</v>
      </c>
      <c r="M16" s="95">
        <f>'Данные по МКД-6'!L12</f>
        <v>0</v>
      </c>
      <c r="N16" s="99">
        <f t="shared" si="1"/>
        <v>1375139.4699999997</v>
      </c>
    </row>
    <row r="17" spans="1:14" x14ac:dyDescent="0.25">
      <c r="A17" s="62"/>
      <c r="B17" s="98" t="s">
        <v>53</v>
      </c>
      <c r="C17" s="95">
        <f>'Данные по МКД-6'!B13</f>
        <v>86422.2</v>
      </c>
      <c r="D17" s="95">
        <f>'Данные по МКД-6'!C13</f>
        <v>41784.720000000001</v>
      </c>
      <c r="E17" s="95">
        <f>'Данные по МКД-6'!D13</f>
        <v>0</v>
      </c>
      <c r="F17" s="95">
        <f>'Данные по МКД-6'!E13</f>
        <v>0</v>
      </c>
      <c r="G17" s="95">
        <f>'Данные по МКД-6'!F13</f>
        <v>0</v>
      </c>
      <c r="H17" s="95">
        <f>'Данные по МКД-6'!G13</f>
        <v>0</v>
      </c>
      <c r="I17" s="95">
        <f>'Данные по МКД-6'!H13</f>
        <v>0</v>
      </c>
      <c r="J17" s="95">
        <f>'Данные по МКД-6'!I13</f>
        <v>0</v>
      </c>
      <c r="K17" s="95">
        <f>'Данные по МКД-6'!J13</f>
        <v>0</v>
      </c>
      <c r="L17" s="95">
        <f>'Данные по МКД-6'!K13</f>
        <v>0</v>
      </c>
      <c r="M17" s="95">
        <f>'Данные по МКД-6'!L13</f>
        <v>0</v>
      </c>
      <c r="N17" s="99">
        <f t="shared" si="1"/>
        <v>128206.92</v>
      </c>
    </row>
    <row r="18" spans="1:14" x14ac:dyDescent="0.25">
      <c r="A18" s="62"/>
      <c r="B18" s="98" t="s">
        <v>54</v>
      </c>
      <c r="C18" s="95">
        <f>'Данные по МКД-6'!B14</f>
        <v>0</v>
      </c>
      <c r="D18" s="95">
        <f>'Данные по МКД-6'!C14</f>
        <v>0</v>
      </c>
      <c r="E18" s="95">
        <f>'Данные по МКД-6'!D14</f>
        <v>0</v>
      </c>
      <c r="F18" s="95">
        <f>'Данные по МКД-6'!E14</f>
        <v>0</v>
      </c>
      <c r="G18" s="95">
        <f>'Данные по МКД-6'!F14</f>
        <v>0</v>
      </c>
      <c r="H18" s="95">
        <f>'Данные по МКД-6'!G14</f>
        <v>0</v>
      </c>
      <c r="I18" s="95">
        <f>'Данные по МКД-6'!H14</f>
        <v>0</v>
      </c>
      <c r="J18" s="95">
        <f>'Данные по МКД-6'!I14</f>
        <v>0</v>
      </c>
      <c r="K18" s="95">
        <f>'Данные по МКД-6'!J14</f>
        <v>0</v>
      </c>
      <c r="L18" s="95">
        <f>'Данные по МКД-6'!K14</f>
        <v>0</v>
      </c>
      <c r="M18" s="95">
        <f>'Данные по МКД-6'!L14</f>
        <v>0</v>
      </c>
      <c r="N18" s="99">
        <f t="shared" si="1"/>
        <v>0</v>
      </c>
    </row>
    <row r="19" spans="1:14" ht="42.75" x14ac:dyDescent="0.25">
      <c r="A19" s="62"/>
      <c r="B19" s="98" t="s">
        <v>55</v>
      </c>
      <c r="C19" s="95">
        <f>'Данные по МКД-6'!B15</f>
        <v>554914.55000000005</v>
      </c>
      <c r="D19" s="95">
        <f>'Данные по МКД-6'!C15</f>
        <v>290300.88</v>
      </c>
      <c r="E19" s="95">
        <f>'Данные по МКД-6'!D15</f>
        <v>1202886.1199999999</v>
      </c>
      <c r="F19" s="95">
        <f>'Данные по МКД-6'!E15</f>
        <v>434354.44</v>
      </c>
      <c r="G19" s="95">
        <f>'Данные по МКД-6'!F15</f>
        <v>364639.97</v>
      </c>
      <c r="H19" s="95">
        <f>'Данные по МКД-6'!G15</f>
        <v>300215.40000000002</v>
      </c>
      <c r="I19" s="95">
        <f>'Данные по МКД-6'!H15</f>
        <v>343889.5</v>
      </c>
      <c r="J19" s="95">
        <f>'Данные по МКД-6'!I15</f>
        <v>281751.95999999996</v>
      </c>
      <c r="K19" s="95">
        <f>'Данные по МКД-6'!J15</f>
        <v>435066.96</v>
      </c>
      <c r="L19" s="95">
        <f>'Данные по МКД-6'!K15</f>
        <v>414009.01</v>
      </c>
      <c r="M19" s="95">
        <f>'Данные по МКД-6'!L15</f>
        <v>83276.12999999999</v>
      </c>
      <c r="N19" s="99">
        <f t="shared" si="1"/>
        <v>4705304.92</v>
      </c>
    </row>
    <row r="20" spans="1:14" ht="14.45" customHeight="1" x14ac:dyDescent="0.25">
      <c r="A20" s="62"/>
      <c r="B20" s="98" t="s">
        <v>56</v>
      </c>
      <c r="C20" s="95">
        <f>'Данные по МКД-6'!B16</f>
        <v>500332.79999999999</v>
      </c>
      <c r="D20" s="95">
        <f>'Данные по МКД-6'!C16</f>
        <v>258418.32</v>
      </c>
      <c r="E20" s="95">
        <f>'Данные по МКД-6'!D16</f>
        <v>1306316.99</v>
      </c>
      <c r="F20" s="95">
        <f>'Данные по МКД-6'!E16</f>
        <v>471707.20999999996</v>
      </c>
      <c r="G20" s="95">
        <f>'Данные по МКД-6'!F16</f>
        <v>395994.74</v>
      </c>
      <c r="H20" s="95">
        <f>'Данные по МКД-6'!G16</f>
        <v>326031.84000000003</v>
      </c>
      <c r="I20" s="95">
        <f>'Данные по МКД-6'!H16</f>
        <v>373462.1</v>
      </c>
      <c r="J20" s="95">
        <f>'Данные по МКД-6'!I16</f>
        <v>305979.60000000003</v>
      </c>
      <c r="K20" s="95">
        <f>'Данные по МКД-6'!J16</f>
        <v>472483.08</v>
      </c>
      <c r="L20" s="95">
        <f>'Данные по МКД-6'!K16</f>
        <v>449611.91</v>
      </c>
      <c r="M20" s="95">
        <f>'Данные по МКД-6'!L16</f>
        <v>116789.40000000001</v>
      </c>
      <c r="N20" s="99">
        <f t="shared" si="1"/>
        <v>4977127.99</v>
      </c>
    </row>
    <row r="21" spans="1:14" ht="14.45" customHeight="1" x14ac:dyDescent="0.25">
      <c r="A21" s="62"/>
      <c r="B21" s="98" t="s">
        <v>57</v>
      </c>
      <c r="C21" s="95">
        <f>'Данные по МКД-6'!B17</f>
        <v>336588.6</v>
      </c>
      <c r="D21" s="95">
        <f>'Данные по МКД-6'!C17</f>
        <v>162742.92000000001</v>
      </c>
      <c r="E21" s="95">
        <f>'Данные по МКД-6'!D17</f>
        <v>296206.68</v>
      </c>
      <c r="F21" s="95">
        <f>'Данные по МКД-6'!E17</f>
        <v>124496.17000000001</v>
      </c>
      <c r="G21" s="95">
        <f>'Данные по МКД-6'!F17</f>
        <v>104514.75</v>
      </c>
      <c r="H21" s="95">
        <f>'Данные по МКД-6'!G17</f>
        <v>83255.760000000009</v>
      </c>
      <c r="I21" s="95">
        <f>'Данные по МКД-6'!H17</f>
        <v>1830.6</v>
      </c>
      <c r="J21" s="95">
        <f>'Данные по МКД-6'!I17</f>
        <v>1009.32</v>
      </c>
      <c r="K21" s="95">
        <f>'Данные по МКД-6'!J17</f>
        <v>756</v>
      </c>
      <c r="L21" s="95">
        <f>'Данные по МКД-6'!K17</f>
        <v>0</v>
      </c>
      <c r="M21" s="95">
        <f>'Данные по МКД-6'!L17</f>
        <v>119582.61</v>
      </c>
      <c r="N21" s="99">
        <f t="shared" si="1"/>
        <v>1230983.4100000001</v>
      </c>
    </row>
    <row r="22" spans="1:14" ht="14.45" customHeight="1" x14ac:dyDescent="0.25">
      <c r="A22" s="62"/>
      <c r="B22" s="98" t="s">
        <v>58</v>
      </c>
      <c r="C22" s="95">
        <f>'Данные по МКД-6'!B18</f>
        <v>0</v>
      </c>
      <c r="D22" s="95">
        <f>'Данные по МКД-6'!C18</f>
        <v>0</v>
      </c>
      <c r="E22" s="95">
        <f>'Данные по МКД-6'!D18</f>
        <v>0</v>
      </c>
      <c r="F22" s="95">
        <f>'Данные по МКД-6'!E18</f>
        <v>0</v>
      </c>
      <c r="G22" s="95">
        <f>'Данные по МКД-6'!F18</f>
        <v>0</v>
      </c>
      <c r="H22" s="95">
        <f>'Данные по МКД-6'!G18</f>
        <v>0</v>
      </c>
      <c r="I22" s="95">
        <f>'Данные по МКД-6'!H18</f>
        <v>0</v>
      </c>
      <c r="J22" s="95">
        <f>'Данные по МКД-6'!I18</f>
        <v>0</v>
      </c>
      <c r="K22" s="95">
        <f>'Данные по МКД-6'!J18</f>
        <v>0</v>
      </c>
      <c r="L22" s="95">
        <f>'Данные по МКД-6'!K18</f>
        <v>0</v>
      </c>
      <c r="M22" s="95">
        <f>'Данные по МКД-6'!L18</f>
        <v>0</v>
      </c>
      <c r="N22" s="99">
        <f t="shared" si="1"/>
        <v>0</v>
      </c>
    </row>
    <row r="23" spans="1:14" ht="14.45" customHeight="1" x14ac:dyDescent="0.25">
      <c r="A23" s="62"/>
      <c r="B23" s="98" t="s">
        <v>59</v>
      </c>
      <c r="C23" s="95">
        <f>'Данные по МКД-6'!B19</f>
        <v>0</v>
      </c>
      <c r="D23" s="95">
        <f>'Данные по МКД-6'!C19</f>
        <v>0</v>
      </c>
      <c r="E23" s="95">
        <f>'Данные по МКД-6'!D19</f>
        <v>0</v>
      </c>
      <c r="F23" s="95">
        <f>'Данные по МКД-6'!E19</f>
        <v>0</v>
      </c>
      <c r="G23" s="95">
        <f>'Данные по МКД-6'!F19</f>
        <v>0</v>
      </c>
      <c r="H23" s="95">
        <f>'Данные по МКД-6'!G19</f>
        <v>0</v>
      </c>
      <c r="I23" s="95">
        <f>'Данные по МКД-6'!H19</f>
        <v>0</v>
      </c>
      <c r="J23" s="95">
        <f>'Данные по МКД-6'!I19</f>
        <v>0</v>
      </c>
      <c r="K23" s="95">
        <f>'Данные по МКД-6'!J19</f>
        <v>0</v>
      </c>
      <c r="L23" s="95">
        <f>'Данные по МКД-6'!K19</f>
        <v>0</v>
      </c>
      <c r="M23" s="95">
        <f>'Данные по МКД-6'!L19</f>
        <v>0</v>
      </c>
      <c r="N23" s="99">
        <f t="shared" si="1"/>
        <v>0</v>
      </c>
    </row>
    <row r="24" spans="1:14" ht="14.45" customHeight="1" x14ac:dyDescent="0.25">
      <c r="A24" s="62">
        <v>5</v>
      </c>
      <c r="B24" s="96" t="s">
        <v>68</v>
      </c>
      <c r="C24" s="95"/>
      <c r="D24" s="95"/>
      <c r="E24" s="95"/>
      <c r="F24" s="95"/>
      <c r="G24" s="93"/>
      <c r="H24" s="62"/>
      <c r="I24" s="62"/>
      <c r="J24" s="62"/>
      <c r="K24" s="62"/>
      <c r="L24" s="62"/>
      <c r="M24" s="62"/>
      <c r="N24" s="99"/>
    </row>
    <row r="25" spans="1:14" ht="14.45" customHeight="1" x14ac:dyDescent="0.25">
      <c r="A25" s="62"/>
      <c r="B25" s="91" t="s">
        <v>69</v>
      </c>
      <c r="C25" s="95">
        <f>C36*C38</f>
        <v>8597593.4951999988</v>
      </c>
      <c r="D25" s="95">
        <f t="shared" ref="D25:M25" si="2">D36*D38</f>
        <v>4333557.0954</v>
      </c>
      <c r="E25" s="95">
        <f t="shared" si="2"/>
        <v>11970100.264499998</v>
      </c>
      <c r="F25" s="95">
        <f t="shared" si="2"/>
        <v>4940966.1179999989</v>
      </c>
      <c r="G25" s="95">
        <f t="shared" si="2"/>
        <v>3777939.7679999992</v>
      </c>
      <c r="H25" s="95">
        <f t="shared" si="2"/>
        <v>2578769.3724000002</v>
      </c>
      <c r="I25" s="95">
        <f t="shared" si="2"/>
        <v>3445188.0938999997</v>
      </c>
      <c r="J25" s="95">
        <f t="shared" si="2"/>
        <v>2905389.3036000002</v>
      </c>
      <c r="K25" s="95">
        <f t="shared" si="2"/>
        <v>4297510.0410000002</v>
      </c>
      <c r="L25" s="95">
        <f t="shared" si="2"/>
        <v>4173657.7429999998</v>
      </c>
      <c r="M25" s="95">
        <f t="shared" si="2"/>
        <v>656660.99369999999</v>
      </c>
      <c r="N25" s="99">
        <f t="shared" si="1"/>
        <v>51677332.288699999</v>
      </c>
    </row>
    <row r="26" spans="1:14" ht="14.45" customHeight="1" x14ac:dyDescent="0.25">
      <c r="A26" s="62"/>
      <c r="B26" s="91" t="s">
        <v>70</v>
      </c>
      <c r="C26" s="95"/>
      <c r="D26" s="95"/>
      <c r="E26" s="95"/>
      <c r="F26" s="95"/>
      <c r="G26" s="93"/>
      <c r="H26" s="62"/>
      <c r="I26" s="62"/>
      <c r="J26" s="62"/>
      <c r="K26" s="62"/>
      <c r="L26" s="62"/>
      <c r="M26" s="62"/>
      <c r="N26" s="94"/>
    </row>
    <row r="27" spans="1:14" ht="14.45" customHeight="1" x14ac:dyDescent="0.25">
      <c r="A27" s="62"/>
      <c r="B27" s="91" t="s">
        <v>71</v>
      </c>
      <c r="C27" s="95"/>
      <c r="D27" s="95"/>
      <c r="E27" s="95"/>
      <c r="F27" s="95"/>
      <c r="G27" s="93"/>
      <c r="H27" s="62"/>
      <c r="I27" s="62"/>
      <c r="J27" s="62"/>
      <c r="K27" s="62"/>
      <c r="L27" s="62"/>
      <c r="M27" s="62"/>
      <c r="N27" s="94"/>
    </row>
    <row r="28" spans="1:14" ht="14.45" customHeight="1" x14ac:dyDescent="0.25">
      <c r="A28" s="62"/>
      <c r="B28" s="91" t="s">
        <v>72</v>
      </c>
      <c r="C28" s="95"/>
      <c r="D28" s="95"/>
      <c r="E28" s="95"/>
      <c r="F28" s="95"/>
      <c r="G28" s="93"/>
      <c r="H28" s="62"/>
      <c r="I28" s="62"/>
      <c r="J28" s="62"/>
      <c r="K28" s="62"/>
      <c r="L28" s="62"/>
      <c r="M28" s="62"/>
      <c r="N28" s="94"/>
    </row>
    <row r="29" spans="1:14" ht="14.45" customHeight="1" x14ac:dyDescent="0.25">
      <c r="A29" s="62"/>
      <c r="B29" s="91" t="s">
        <v>73</v>
      </c>
      <c r="C29" s="95"/>
      <c r="D29" s="95"/>
      <c r="E29" s="95"/>
      <c r="F29" s="95"/>
      <c r="G29" s="93"/>
      <c r="H29" s="62"/>
      <c r="I29" s="62"/>
      <c r="J29" s="62"/>
      <c r="K29" s="62"/>
      <c r="L29" s="62"/>
      <c r="M29" s="62"/>
      <c r="N29" s="94"/>
    </row>
    <row r="30" spans="1:14" ht="14.45" customHeight="1" x14ac:dyDescent="0.25">
      <c r="A30" s="62">
        <v>6</v>
      </c>
      <c r="B30" s="91" t="s">
        <v>74</v>
      </c>
      <c r="C30" s="92">
        <f t="shared" ref="C30:N30" si="3">C25</f>
        <v>8597593.4951999988</v>
      </c>
      <c r="D30" s="92">
        <f t="shared" si="3"/>
        <v>4333557.0954</v>
      </c>
      <c r="E30" s="100">
        <f t="shared" si="3"/>
        <v>11970100.264499998</v>
      </c>
      <c r="F30" s="100">
        <f t="shared" si="3"/>
        <v>4940966.1179999989</v>
      </c>
      <c r="G30" s="100">
        <f t="shared" si="3"/>
        <v>3777939.7679999992</v>
      </c>
      <c r="H30" s="100">
        <f t="shared" si="3"/>
        <v>2578769.3724000002</v>
      </c>
      <c r="I30" s="100">
        <f t="shared" si="3"/>
        <v>3445188.0938999997</v>
      </c>
      <c r="J30" s="100">
        <f t="shared" si="3"/>
        <v>2905389.3036000002</v>
      </c>
      <c r="K30" s="100">
        <f t="shared" si="3"/>
        <v>4297510.0410000002</v>
      </c>
      <c r="L30" s="100">
        <f t="shared" si="3"/>
        <v>4173657.7429999998</v>
      </c>
      <c r="M30" s="100">
        <f t="shared" si="3"/>
        <v>656660.99369999999</v>
      </c>
      <c r="N30" s="100">
        <f t="shared" si="3"/>
        <v>51677332.288699999</v>
      </c>
    </row>
    <row r="31" spans="1:14" ht="14.45" customHeight="1" x14ac:dyDescent="0.25">
      <c r="A31" s="62">
        <v>7</v>
      </c>
      <c r="B31" s="91" t="s">
        <v>75</v>
      </c>
      <c r="C31" s="92">
        <f t="shared" ref="C31:N31" si="4">C40*C38</f>
        <v>36435.760399999999</v>
      </c>
      <c r="D31" s="92">
        <f t="shared" si="4"/>
        <v>12870.7644</v>
      </c>
      <c r="E31" s="100">
        <f t="shared" si="4"/>
        <v>175220.78399999999</v>
      </c>
      <c r="F31" s="100">
        <f t="shared" si="4"/>
        <v>25899.768399999997</v>
      </c>
      <c r="G31" s="100">
        <f t="shared" si="4"/>
        <v>42172.423999999992</v>
      </c>
      <c r="H31" s="100">
        <f t="shared" si="4"/>
        <v>13716.491099999999</v>
      </c>
      <c r="I31" s="100">
        <f t="shared" si="4"/>
        <v>52255.902200000004</v>
      </c>
      <c r="J31" s="100">
        <f t="shared" si="4"/>
        <v>23807.187600000001</v>
      </c>
      <c r="K31" s="100">
        <f t="shared" si="4"/>
        <v>55303.220200000003</v>
      </c>
      <c r="L31" s="100">
        <f t="shared" si="4"/>
        <v>53496.460800000001</v>
      </c>
      <c r="M31" s="100">
        <f t="shared" si="4"/>
        <v>4237.9466999999995</v>
      </c>
      <c r="N31" s="100">
        <f t="shared" si="4"/>
        <v>0</v>
      </c>
    </row>
    <row r="32" spans="1:14" ht="14.45" customHeight="1" x14ac:dyDescent="0.25">
      <c r="A32" s="62">
        <v>8</v>
      </c>
      <c r="B32" s="91" t="s">
        <v>76</v>
      </c>
      <c r="C32" s="92"/>
      <c r="D32" s="92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ht="14.45" customHeight="1" x14ac:dyDescent="0.25">
      <c r="A33" s="101">
        <v>9</v>
      </c>
      <c r="B33" s="91" t="s">
        <v>77</v>
      </c>
      <c r="C33" s="92">
        <f t="shared" ref="C33:N33" si="5">C5-C3+C6-C30-C31</f>
        <v>1666266.6844000006</v>
      </c>
      <c r="D33" s="92">
        <f t="shared" si="5"/>
        <v>829242.87020000047</v>
      </c>
      <c r="E33" s="100">
        <f t="shared" si="5"/>
        <v>5975442.4215000011</v>
      </c>
      <c r="F33" s="100">
        <f t="shared" si="5"/>
        <v>1310140.4636000018</v>
      </c>
      <c r="G33" s="100">
        <f t="shared" si="5"/>
        <v>581845.39800000063</v>
      </c>
      <c r="H33" s="100">
        <f t="shared" si="5"/>
        <v>438660.77650000039</v>
      </c>
      <c r="I33" s="100">
        <f t="shared" si="5"/>
        <v>518569.85090000078</v>
      </c>
      <c r="J33" s="100">
        <f t="shared" si="5"/>
        <v>798338.40879999974</v>
      </c>
      <c r="K33" s="100">
        <f t="shared" si="5"/>
        <v>694743.88880000019</v>
      </c>
      <c r="L33" s="100">
        <f t="shared" si="5"/>
        <v>505653.99620000133</v>
      </c>
      <c r="M33" s="100">
        <f t="shared" si="5"/>
        <v>329869.10960000008</v>
      </c>
      <c r="N33" s="100">
        <f t="shared" si="5"/>
        <v>1619284.6512999982</v>
      </c>
    </row>
    <row r="34" spans="1:14" x14ac:dyDescent="0.25">
      <c r="C34" s="57">
        <f>'Данные по МКД-6'!B20-'Данные по МКД-1'!C6</f>
        <v>0</v>
      </c>
      <c r="D34" s="57">
        <f>'Данные по МКД-6'!C20-'Данные по МКД-1'!D6</f>
        <v>0</v>
      </c>
      <c r="E34" s="57">
        <f>'Данные по МКД-6'!D20-'Данные по МКД-1'!E6</f>
        <v>0</v>
      </c>
      <c r="F34" s="57">
        <f>'Данные по МКД-6'!E20-'Данные по МКД-1'!F6</f>
        <v>0</v>
      </c>
      <c r="G34" s="57">
        <f>'Данные по МКД-6'!F20-'Данные по МКД-1'!G6</f>
        <v>0</v>
      </c>
      <c r="H34" s="57">
        <f>'Данные по МКД-6'!G20-'Данные по МКД-1'!H6</f>
        <v>0</v>
      </c>
      <c r="I34" s="57">
        <f>'Данные по МКД-6'!H20-'Данные по МКД-1'!I6</f>
        <v>0</v>
      </c>
      <c r="J34" s="57">
        <f>'Данные по МКД-6'!I20-'Данные по МКД-1'!J6</f>
        <v>0</v>
      </c>
      <c r="K34" s="57">
        <f>'Данные по МКД-6'!J20-'Данные по МКД-1'!K6</f>
        <v>0</v>
      </c>
      <c r="L34" s="57">
        <f>'Данные по МКД-6'!K20-'Данные по МКД-1'!L6</f>
        <v>0</v>
      </c>
      <c r="M34" s="57">
        <f>'Данные по МКД-6'!L20-'Данные по МКД-1'!M6</f>
        <v>0</v>
      </c>
    </row>
    <row r="35" spans="1:14" x14ac:dyDescent="0.25">
      <c r="C35" s="57"/>
      <c r="D35" s="57"/>
      <c r="E35" s="57"/>
      <c r="F35" s="57"/>
    </row>
    <row r="36" spans="1:14" x14ac:dyDescent="0.25">
      <c r="C36" s="102">
        <f>'Данные по МКД-2'!C24</f>
        <v>22625246.039999999</v>
      </c>
      <c r="D36" s="57">
        <f>'Данные по МКД-2'!D24</f>
        <v>11111684.859999999</v>
      </c>
      <c r="E36" s="57">
        <f>'Данные по МКД-2'!E24</f>
        <v>26600222.809999999</v>
      </c>
      <c r="F36" s="57">
        <f>'Данные по МКД-2'!F24</f>
        <v>11229468.449999999</v>
      </c>
      <c r="G36" s="102">
        <f>'Данные по МКД-2'!G24</f>
        <v>9444849.4199999999</v>
      </c>
      <c r="H36" s="102">
        <f>'Данные по МКД-2'!H24</f>
        <v>6612229.1600000001</v>
      </c>
      <c r="I36" s="102">
        <f>'Данные по МКД-2'!I24</f>
        <v>8402897.7899999991</v>
      </c>
      <c r="J36" s="102">
        <f>'Данные по МКД-2'!J24</f>
        <v>6917593.5800000001</v>
      </c>
      <c r="K36" s="102">
        <f>'Данные по МКД-2'!K24</f>
        <v>11309236.949999999</v>
      </c>
      <c r="L36" s="102">
        <f>'Данные по МКД-2'!L24</f>
        <v>10983309.85</v>
      </c>
      <c r="M36" s="102">
        <f>'Данные по МКД-2'!M24</f>
        <v>1527118.59</v>
      </c>
      <c r="N36" s="57">
        <f>SUM(C36:M36)</f>
        <v>126763857.5</v>
      </c>
    </row>
    <row r="37" spans="1:14" x14ac:dyDescent="0.25">
      <c r="C37" s="102">
        <f>'Данные по МКД-2'!C25</f>
        <v>0.62</v>
      </c>
      <c r="D37" s="57">
        <f>'Данные по МКД-2'!D25</f>
        <v>0.61</v>
      </c>
      <c r="E37" s="57">
        <f>'Данные по МКД-2'!E25</f>
        <v>0.55000000000000004</v>
      </c>
      <c r="F37" s="57">
        <f>'Данные по МКД-2'!F25</f>
        <v>0.56000000000000005</v>
      </c>
      <c r="G37" s="102">
        <f>'Данные по МКД-2'!G25</f>
        <v>0.60000000000000009</v>
      </c>
      <c r="H37" s="102">
        <f>'Данные по МКД-2'!H25</f>
        <v>0.61</v>
      </c>
      <c r="I37" s="102">
        <f>'Данные по МКД-2'!I25</f>
        <v>0.59</v>
      </c>
      <c r="J37" s="102">
        <f>'Данные по МКД-2'!J25</f>
        <v>0.57999999999999996</v>
      </c>
      <c r="K37" s="102">
        <f>'Данные по МКД-2'!K25</f>
        <v>0.62</v>
      </c>
      <c r="L37" s="102">
        <f>'Данные по МКД-2'!L25</f>
        <v>0.62</v>
      </c>
      <c r="M37" s="102">
        <f>'Данные по МКД-2'!M25</f>
        <v>0.57000000000000006</v>
      </c>
      <c r="N37" s="57">
        <f>N36-N30-'Данные по МКД-4'!M93</f>
        <v>0</v>
      </c>
    </row>
    <row r="38" spans="1:14" x14ac:dyDescent="0.25">
      <c r="C38" s="102">
        <f>'Данные по МКД-2'!C26</f>
        <v>0.38</v>
      </c>
      <c r="D38" s="57">
        <f>'Данные по МКД-2'!D26</f>
        <v>0.39</v>
      </c>
      <c r="E38" s="57">
        <f>'Данные по МКД-2'!E26</f>
        <v>0.44999999999999996</v>
      </c>
      <c r="F38" s="57">
        <f>'Данные по МКД-2'!F26</f>
        <v>0.43999999999999995</v>
      </c>
      <c r="G38" s="102">
        <f>'Данные по МКД-2'!G26</f>
        <v>0.39999999999999991</v>
      </c>
      <c r="H38" s="102">
        <f>'Данные по МКД-2'!H26</f>
        <v>0.39</v>
      </c>
      <c r="I38" s="102">
        <f>'Данные по МКД-2'!I26</f>
        <v>0.41000000000000003</v>
      </c>
      <c r="J38" s="102">
        <f>'Данные по МКД-2'!J26</f>
        <v>0.42000000000000004</v>
      </c>
      <c r="K38" s="102">
        <f>'Данные по МКД-2'!K26</f>
        <v>0.38</v>
      </c>
      <c r="L38" s="102">
        <f>'Данные по МКД-2'!L26</f>
        <v>0.38</v>
      </c>
      <c r="M38" s="102">
        <f>'Данные по МКД-2'!M26</f>
        <v>0.42999999999999994</v>
      </c>
    </row>
    <row r="39" spans="1:14" x14ac:dyDescent="0.25">
      <c r="C39" s="102">
        <f>'Данные по МКД-2'!C27</f>
        <v>0</v>
      </c>
      <c r="D39" s="57">
        <f>'Данные по МКД-2'!D27</f>
        <v>0</v>
      </c>
      <c r="E39" s="57">
        <f>'Данные по МКД-2'!E27</f>
        <v>0</v>
      </c>
      <c r="F39" s="57">
        <f>'Данные по МКД-2'!F27</f>
        <v>0</v>
      </c>
      <c r="G39" s="102">
        <f>'Данные по МКД-2'!G27</f>
        <v>0</v>
      </c>
      <c r="H39" s="102">
        <f>'Данные по МКД-2'!H27</f>
        <v>0</v>
      </c>
      <c r="I39" s="102">
        <f>'Данные по МКД-2'!I27</f>
        <v>0</v>
      </c>
      <c r="J39" s="102">
        <f>'Данные по МКД-2'!J27</f>
        <v>0</v>
      </c>
      <c r="K39" s="102">
        <f>'Данные по МКД-2'!K27</f>
        <v>0</v>
      </c>
      <c r="L39" s="102">
        <f>'Данные по МКД-2'!L27</f>
        <v>0</v>
      </c>
      <c r="M39" s="102">
        <f>'Данные по МКД-2'!M27</f>
        <v>0</v>
      </c>
    </row>
    <row r="40" spans="1:14" x14ac:dyDescent="0.25">
      <c r="C40" s="102">
        <f>'Данные по МКД-2'!C28</f>
        <v>95883.58</v>
      </c>
      <c r="D40" s="57">
        <f>'Данные по МКД-2'!D28</f>
        <v>33001.96</v>
      </c>
      <c r="E40" s="57">
        <f>'Данные по МКД-2'!E28</f>
        <v>389379.52</v>
      </c>
      <c r="F40" s="57">
        <f>'Данные по МКД-2'!F28</f>
        <v>58863.11</v>
      </c>
      <c r="G40" s="102">
        <f>'Данные по МКД-2'!G28</f>
        <v>105431.06</v>
      </c>
      <c r="H40" s="102">
        <f>'Данные по МКД-2'!H28</f>
        <v>35170.49</v>
      </c>
      <c r="I40" s="102">
        <f>'Данные по МКД-2'!I28</f>
        <v>127453.42</v>
      </c>
      <c r="J40" s="102">
        <f>'Данные по МКД-2'!J28</f>
        <v>56683.78</v>
      </c>
      <c r="K40" s="102">
        <f>'Данные по МКД-2'!K28</f>
        <v>145534.79</v>
      </c>
      <c r="L40" s="102">
        <f>'Данные по МКД-2'!L28</f>
        <v>140780.16</v>
      </c>
      <c r="M40" s="102">
        <f>'Данные по МКД-2'!M28</f>
        <v>9855.69</v>
      </c>
    </row>
    <row r="41" spans="1:14" x14ac:dyDescent="0.25">
      <c r="C41" s="57"/>
      <c r="D41" s="57"/>
      <c r="E41" s="57"/>
      <c r="F41" s="57"/>
      <c r="G41" s="102"/>
      <c r="H41" s="102"/>
      <c r="I41" s="102"/>
      <c r="J41" s="102"/>
      <c r="K41" s="102"/>
      <c r="L41" s="102"/>
      <c r="M41" s="102"/>
    </row>
    <row r="42" spans="1:14" x14ac:dyDescent="0.25">
      <c r="C42" s="57"/>
      <c r="D42" s="57"/>
      <c r="E42" s="57"/>
      <c r="F42" s="57"/>
    </row>
    <row r="43" spans="1:14" x14ac:dyDescent="0.25">
      <c r="C43" s="57"/>
    </row>
  </sheetData>
  <sheetProtection selectLockedCells="1" selectUnlockedCells="1"/>
  <mergeCells count="1">
    <mergeCell ref="C1:G1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" sqref="M2"/>
    </sheetView>
  </sheetViews>
  <sheetFormatPr defaultColWidth="10.140625" defaultRowHeight="15" x14ac:dyDescent="0.25"/>
  <cols>
    <col min="1" max="1" width="5" style="1" customWidth="1"/>
    <col min="2" max="2" width="90.5703125" style="1" customWidth="1"/>
    <col min="3" max="6" width="13.42578125" style="1" customWidth="1"/>
    <col min="7" max="7" width="14.7109375" style="1" customWidth="1"/>
    <col min="8" max="8" width="13.7109375" style="1" customWidth="1"/>
    <col min="9" max="13" width="10.140625" style="1"/>
    <col min="14" max="14" width="13.140625" style="1" customWidth="1"/>
    <col min="15" max="16384" width="10.140625" style="1"/>
  </cols>
  <sheetData>
    <row r="1" spans="1:14" x14ac:dyDescent="0.25">
      <c r="B1" s="4" t="s">
        <v>24</v>
      </c>
    </row>
    <row r="2" spans="1:14" ht="105" x14ac:dyDescent="0.25">
      <c r="B2" s="5" t="s">
        <v>78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8" t="s">
        <v>87</v>
      </c>
      <c r="N2" s="9" t="s">
        <v>11</v>
      </c>
    </row>
    <row r="3" spans="1:14" ht="20.100000000000001" customHeight="1" x14ac:dyDescent="0.25">
      <c r="A3" s="62">
        <v>1</v>
      </c>
      <c r="B3" s="103" t="s">
        <v>64</v>
      </c>
      <c r="C3" s="104">
        <v>21536.33</v>
      </c>
      <c r="D3" s="104">
        <v>9825.98</v>
      </c>
      <c r="E3" s="104">
        <v>159854.84</v>
      </c>
      <c r="F3" s="104">
        <v>20324.28</v>
      </c>
      <c r="G3" s="105">
        <v>59983.77</v>
      </c>
      <c r="H3" s="62">
        <v>35738.370000000003</v>
      </c>
      <c r="I3" s="62">
        <v>98368.38</v>
      </c>
      <c r="J3" s="62">
        <v>24239.27</v>
      </c>
      <c r="K3" s="62">
        <v>145007.23000000001</v>
      </c>
      <c r="L3" s="62">
        <v>94999.58</v>
      </c>
      <c r="M3" s="106"/>
      <c r="N3" s="107"/>
    </row>
    <row r="4" spans="1:14" x14ac:dyDescent="0.25">
      <c r="A4" s="62">
        <v>2</v>
      </c>
      <c r="B4" s="103" t="s">
        <v>65</v>
      </c>
      <c r="C4" s="104"/>
      <c r="D4" s="104"/>
      <c r="E4" s="104"/>
      <c r="F4" s="104"/>
      <c r="G4" s="105"/>
      <c r="H4" s="62"/>
      <c r="I4" s="62"/>
      <c r="J4" s="62"/>
      <c r="K4" s="62"/>
      <c r="L4" s="62"/>
      <c r="M4" s="106"/>
      <c r="N4" s="62"/>
    </row>
    <row r="5" spans="1:14" x14ac:dyDescent="0.25">
      <c r="A5" s="62">
        <v>3</v>
      </c>
      <c r="B5" s="103" t="s">
        <v>66</v>
      </c>
      <c r="C5" s="104">
        <v>2841697.3899999987</v>
      </c>
      <c r="D5" s="104">
        <v>1173921.4599999995</v>
      </c>
      <c r="E5" s="104">
        <v>8074413.0099999998</v>
      </c>
      <c r="F5" s="104">
        <v>1691052.7999999996</v>
      </c>
      <c r="G5" s="104">
        <v>1895338.02</v>
      </c>
      <c r="H5" s="104">
        <v>680124.15000000026</v>
      </c>
      <c r="I5" s="104">
        <v>975165.8699999993</v>
      </c>
      <c r="J5" s="104">
        <v>1415183.5299999989</v>
      </c>
      <c r="K5" s="104">
        <v>1455209.189999999</v>
      </c>
      <c r="L5" s="104">
        <v>1069474.3600000003</v>
      </c>
      <c r="M5" s="106"/>
      <c r="N5" s="107"/>
    </row>
    <row r="6" spans="1:14" x14ac:dyDescent="0.25">
      <c r="A6" s="62">
        <v>4</v>
      </c>
      <c r="B6" s="103" t="s">
        <v>75</v>
      </c>
      <c r="C6" s="104">
        <f>'Данные по МКД-1'!C40-'Данные по МКД-1'!C31</f>
        <v>59447.819600000003</v>
      </c>
      <c r="D6" s="104">
        <f>'Данные по МКД-1'!D40-'Данные по МКД-1'!D31</f>
        <v>20131.195599999999</v>
      </c>
      <c r="E6" s="108">
        <f>'Данные по МКД-1'!E40-'Данные по МКД-1'!E31</f>
        <v>214158.73600000003</v>
      </c>
      <c r="F6" s="108">
        <f>'Данные по МКД-1'!F40-'Данные по МКД-1'!F31</f>
        <v>32963.3416</v>
      </c>
      <c r="G6" s="108">
        <f>'Данные по МКД-1'!G40-'Данные по МКД-1'!G31</f>
        <v>63258.636000000006</v>
      </c>
      <c r="H6" s="108">
        <f>'Данные по МКД-1'!H40-'Данные по МКД-1'!H31</f>
        <v>21453.998899999999</v>
      </c>
      <c r="I6" s="108">
        <f>'Данные по МКД-1'!I40-'Данные по МКД-1'!I31</f>
        <v>75197.517800000001</v>
      </c>
      <c r="J6" s="108">
        <f>'Данные по МКД-1'!J40-'Данные по МКД-1'!J31</f>
        <v>32876.592399999994</v>
      </c>
      <c r="K6" s="108">
        <f>'Данные по МКД-1'!K40-'Данные по МКД-1'!K31</f>
        <v>90231.569799999997</v>
      </c>
      <c r="L6" s="108">
        <f>'Данные по МКД-1'!L40-'Данные по МКД-1'!L31</f>
        <v>87283.699200000003</v>
      </c>
      <c r="M6" s="108">
        <f>'Данные по МКД-1'!M40-'Данные по МКД-1'!M31</f>
        <v>5617.743300000001</v>
      </c>
      <c r="N6" s="107"/>
    </row>
    <row r="7" spans="1:14" x14ac:dyDescent="0.25">
      <c r="A7" s="62">
        <v>5</v>
      </c>
      <c r="B7" s="103" t="s">
        <v>76</v>
      </c>
      <c r="C7" s="104"/>
      <c r="D7" s="104"/>
      <c r="E7" s="108"/>
      <c r="F7" s="108"/>
      <c r="G7" s="108"/>
      <c r="H7" s="108"/>
      <c r="I7" s="108"/>
      <c r="J7" s="108"/>
      <c r="K7" s="108"/>
      <c r="L7" s="108"/>
      <c r="M7" s="108"/>
      <c r="N7" s="62"/>
    </row>
    <row r="8" spans="1:14" x14ac:dyDescent="0.25">
      <c r="A8" s="62">
        <v>6</v>
      </c>
      <c r="B8" s="103" t="s">
        <v>77</v>
      </c>
      <c r="C8" s="104">
        <f>C5-C3+'Данные по МКД-4'!B92-'Данные по МКД-4'!B93</f>
        <v>2519752.2851999979</v>
      </c>
      <c r="D8" s="104">
        <f>D5-D3+'Данные по МКД-4'!C92-'Данные по МКД-4'!C93</f>
        <v>1071789.1354</v>
      </c>
      <c r="E8" s="108">
        <f>E5-E3+'Данные по МКД-4'!D92-'Данные по МКД-4'!D93</f>
        <v>8666572.5344999973</v>
      </c>
      <c r="F8" s="108">
        <f>F5-F3+'Данные по МКД-4'!E92-'Данные по МКД-4'!E93</f>
        <v>1877170.4379999992</v>
      </c>
      <c r="G8" s="108">
        <f>G5-G3+'Данные по МКД-4'!F92-'Данные по МКД-4'!F93</f>
        <v>1672734.9379999992</v>
      </c>
      <c r="H8" s="108">
        <f>H5-H3+'Данные по МКД-4'!G92-'Данные по МКД-4'!G93</f>
        <v>831330.56240000064</v>
      </c>
      <c r="I8" s="108">
        <f>I5-I3+'Данные по МКД-4'!H92-'Данные по МКД-4'!H93</f>
        <v>1209330.6239</v>
      </c>
      <c r="J8" s="108">
        <f>J5-J3+'Данные по МКД-4'!I92-'Данные по МКД-4'!I93</f>
        <v>1706826.693599999</v>
      </c>
      <c r="K8" s="108">
        <f>K5-K3+'Данные по МКД-4'!J92-'Данные по МКД-4'!J93</f>
        <v>1484320.4809999997</v>
      </c>
      <c r="L8" s="108">
        <f>L5-L3+'Данные по МКД-4'!K92-'Данные по МКД-4'!K93</f>
        <v>1143261.813000001</v>
      </c>
      <c r="M8" s="108">
        <f>M5-M3+'Данные по МКД-4'!L92-'Данные по МКД-4'!L93</f>
        <v>439528.85370000009</v>
      </c>
      <c r="N8" s="107"/>
    </row>
    <row r="9" spans="1:14" x14ac:dyDescent="0.25">
      <c r="A9" s="62"/>
      <c r="B9" s="103"/>
      <c r="C9" s="104"/>
      <c r="D9" s="104"/>
      <c r="E9" s="104"/>
      <c r="F9" s="104"/>
      <c r="G9" s="105"/>
      <c r="H9" s="62"/>
      <c r="I9" s="62"/>
      <c r="J9" s="62"/>
      <c r="K9" s="62"/>
      <c r="L9" s="62"/>
      <c r="M9" s="62"/>
      <c r="N9" s="62"/>
    </row>
    <row r="10" spans="1:14" x14ac:dyDescent="0.25">
      <c r="A10" s="62">
        <v>7</v>
      </c>
      <c r="B10" s="103" t="s">
        <v>79</v>
      </c>
      <c r="C10" s="104"/>
      <c r="D10" s="104"/>
      <c r="E10" s="104"/>
      <c r="F10" s="104"/>
      <c r="G10" s="105"/>
      <c r="H10" s="62"/>
      <c r="I10" s="62"/>
      <c r="J10" s="62"/>
      <c r="K10" s="62"/>
      <c r="L10" s="62"/>
      <c r="M10" s="62"/>
      <c r="N10" s="62"/>
    </row>
    <row r="11" spans="1:14" x14ac:dyDescent="0.25">
      <c r="A11" s="62">
        <v>8</v>
      </c>
      <c r="B11" s="103" t="s">
        <v>80</v>
      </c>
      <c r="C11" s="109"/>
      <c r="D11" s="109"/>
      <c r="E11" s="109"/>
      <c r="F11" s="109"/>
      <c r="G11" s="105"/>
      <c r="H11" s="62"/>
      <c r="I11" s="62"/>
      <c r="J11" s="62"/>
      <c r="K11" s="62"/>
      <c r="L11" s="62"/>
      <c r="M11" s="62"/>
      <c r="N11" s="62"/>
    </row>
    <row r="12" spans="1:14" x14ac:dyDescent="0.25">
      <c r="A12" s="62">
        <v>9</v>
      </c>
      <c r="B12" s="103" t="s">
        <v>81</v>
      </c>
      <c r="C12" s="109"/>
      <c r="D12" s="109"/>
      <c r="E12" s="109"/>
      <c r="F12" s="109"/>
      <c r="G12" s="105"/>
      <c r="H12" s="62"/>
      <c r="I12" s="62"/>
      <c r="J12" s="62"/>
      <c r="K12" s="62"/>
      <c r="L12" s="62"/>
      <c r="M12" s="62"/>
      <c r="N12" s="62"/>
    </row>
    <row r="13" spans="1:14" x14ac:dyDescent="0.25">
      <c r="A13" s="62">
        <v>10</v>
      </c>
      <c r="B13" s="103" t="s">
        <v>82</v>
      </c>
      <c r="C13" s="109"/>
      <c r="D13" s="109"/>
      <c r="E13" s="109"/>
      <c r="F13" s="109"/>
      <c r="G13" s="105"/>
      <c r="H13" s="62"/>
      <c r="I13" s="62"/>
      <c r="J13" s="62"/>
      <c r="K13" s="62"/>
      <c r="L13" s="62"/>
      <c r="M13" s="62"/>
      <c r="N13" s="62"/>
    </row>
    <row r="14" spans="1:14" x14ac:dyDescent="0.25">
      <c r="C14" s="110"/>
      <c r="D14" s="110"/>
      <c r="E14" s="110"/>
      <c r="F14" s="110"/>
      <c r="G14" s="110"/>
    </row>
    <row r="16" spans="1:14" x14ac:dyDescent="0.25">
      <c r="C16" s="111"/>
      <c r="D16" s="111"/>
      <c r="E16" s="111"/>
      <c r="F16" s="111"/>
      <c r="G16" s="111"/>
      <c r="H16" s="111"/>
    </row>
    <row r="17" spans="3:8" x14ac:dyDescent="0.25">
      <c r="C17" s="111"/>
      <c r="D17" s="111"/>
      <c r="E17" s="111"/>
      <c r="F17" s="111"/>
      <c r="G17" s="111"/>
      <c r="H17" s="111"/>
    </row>
    <row r="23" spans="3:8" x14ac:dyDescent="0.25">
      <c r="D23" s="57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70" zoomScaleNormal="70" workbookViewId="0">
      <selection activeCell="C26" sqref="C26"/>
    </sheetView>
  </sheetViews>
  <sheetFormatPr defaultColWidth="10.140625" defaultRowHeight="15" x14ac:dyDescent="0.25"/>
  <cols>
    <col min="1" max="1" width="87.42578125" style="1" customWidth="1"/>
    <col min="2" max="2" width="17.85546875" style="1" customWidth="1"/>
    <col min="3" max="3" width="11.85546875" style="1" customWidth="1"/>
    <col min="4" max="4" width="13.140625" style="1" customWidth="1"/>
    <col min="5" max="5" width="11" style="1" customWidth="1"/>
    <col min="6" max="6" width="12" style="1" customWidth="1"/>
    <col min="7" max="7" width="11.85546875" style="1" customWidth="1"/>
    <col min="8" max="12" width="11" style="1" customWidth="1"/>
    <col min="13" max="13" width="13.7109375" style="1" customWidth="1"/>
    <col min="14" max="16384" width="10.140625" style="1"/>
  </cols>
  <sheetData>
    <row r="1" spans="1:13" x14ac:dyDescent="0.25">
      <c r="A1" s="4" t="s">
        <v>24</v>
      </c>
    </row>
    <row r="2" spans="1:13" ht="75" x14ac:dyDescent="0.25">
      <c r="A2" s="5" t="s">
        <v>83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87</v>
      </c>
      <c r="M2" s="9" t="s">
        <v>11</v>
      </c>
    </row>
    <row r="3" spans="1:13" ht="20.100000000000001" customHeight="1" x14ac:dyDescent="0.25">
      <c r="A3" s="103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0.100000000000001" customHeight="1" x14ac:dyDescent="0.25">
      <c r="A4" s="103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20.100000000000001" customHeight="1" x14ac:dyDescent="0.25">
      <c r="A5" s="103" t="s">
        <v>86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Данные по УК</vt:lpstr>
      <vt:lpstr>Данные по МКД-4</vt:lpstr>
      <vt:lpstr>Данные по МКД-6</vt:lpstr>
      <vt:lpstr>Данные по МКД-2</vt:lpstr>
      <vt:lpstr>Данные по МКД-1</vt:lpstr>
      <vt:lpstr>Данные по МКД-3</vt:lpstr>
      <vt:lpstr>Данные по МКД-5</vt:lpstr>
      <vt:lpstr>__xlnm.Print_Area_5</vt:lpstr>
      <vt:lpstr>'Данные по МКД-1'!Область_печати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Ржанова Людмила Вадимовна</dc:creator>
  <cp:lastModifiedBy>Синицына Елена Олеговна</cp:lastModifiedBy>
  <dcterms:created xsi:type="dcterms:W3CDTF">2019-03-26T09:15:00Z</dcterms:created>
  <dcterms:modified xsi:type="dcterms:W3CDTF">2019-03-27T09:10:18Z</dcterms:modified>
</cp:coreProperties>
</file>